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120" windowWidth="19425" windowHeight="10905" tabRatio="998" firstSheet="23" activeTab="36"/>
  </bookViews>
  <sheets>
    <sheet name="свод" sheetId="2" r:id="rId1"/>
    <sheet name="СШ№1" sheetId="3" r:id="rId2"/>
    <sheet name="СШ№2" sheetId="4" r:id="rId3"/>
    <sheet name="СШ№3" sheetId="5" r:id="rId4"/>
    <sheet name="СШ№4" sheetId="6" r:id="rId5"/>
    <sheet name="СШ№5" sheetId="7" r:id="rId6"/>
    <sheet name="Алтынды СШ" sheetId="8" r:id="rId7"/>
    <sheet name="Айнаколь СШ" sheetId="9" r:id="rId8"/>
    <sheet name="Вознесенка СШ" sheetId="10" r:id="rId9"/>
    <sheet name="Журавлевка СШ" sheetId="11" r:id="rId10"/>
    <sheet name="Капитоновка СШ" sheetId="12" r:id="rId11"/>
    <sheet name="Караозек СШ" sheetId="13" r:id="rId12"/>
    <sheet name="Никольск СШ" sheetId="14" r:id="rId13"/>
    <sheet name="Новобратск СШ" sheetId="15" r:id="rId14"/>
    <sheet name="Отрадное СШ" sheetId="16" r:id="rId15"/>
    <sheet name="Ельтай СШ" sheetId="17" r:id="rId16"/>
    <sheet name="Партизанка СШ" sheetId="18" r:id="rId17"/>
    <sheet name="Токтамыс СШ" sheetId="19" r:id="rId18"/>
    <sheet name="Шубарагаш СШ" sheetId="20" r:id="rId19"/>
    <sheet name="Аккайн ОШ" sheetId="21" r:id="rId20"/>
    <sheet name="Тастыозек ОШ" sheetId="22" r:id="rId21"/>
    <sheet name="Новодонецк ОШ" sheetId="23" r:id="rId22"/>
    <sheet name="Иванковка ОШ" sheetId="24" r:id="rId23"/>
    <sheet name="Воробьевка ОШ" sheetId="25" r:id="rId24"/>
    <sheet name="Алаколь ОШ" sheetId="26" r:id="rId25"/>
    <sheet name="Гордеевка ОШ" sheetId="27" r:id="rId26"/>
    <sheet name="Жанаталап НШ" sheetId="28" r:id="rId27"/>
    <sheet name="Ултуган НШ" sheetId="29" r:id="rId28"/>
    <sheet name="Новокиевка НШ" sheetId="30" r:id="rId29"/>
    <sheet name="Ельтай НШ №1" sheetId="31" r:id="rId30"/>
    <sheet name="Ельтай НШ№2" sheetId="32" r:id="rId31"/>
    <sheet name="Купчановка НШ" sheetId="33" r:id="rId32"/>
    <sheet name="Буденовка НШ" sheetId="34" r:id="rId33"/>
    <sheet name="Байсуат НШ" sheetId="36" r:id="rId34"/>
    <sheet name="Красносельское НШ" sheetId="37" r:id="rId35"/>
    <sheet name="роо" sheetId="38" r:id="rId36"/>
    <sheet name="Вечерка" sheetId="39" r:id="rId37"/>
  </sheets>
  <calcPr calcId="125725" refMode="R1C1"/>
</workbook>
</file>

<file path=xl/calcChain.xml><?xml version="1.0" encoding="utf-8"?>
<calcChain xmlns="http://schemas.openxmlformats.org/spreadsheetml/2006/main">
  <c r="D29" i="39"/>
  <c r="D29" i="38"/>
  <c r="D30"/>
  <c r="D32"/>
  <c r="D33"/>
  <c r="D29" i="37"/>
  <c r="D30"/>
  <c r="D33"/>
  <c r="D29" i="36"/>
  <c r="D30"/>
  <c r="D33"/>
  <c r="D29" i="34"/>
  <c r="D30"/>
  <c r="D33"/>
  <c r="E29"/>
  <c r="D29" i="33"/>
  <c r="D30"/>
  <c r="D33"/>
  <c r="D29" i="32"/>
  <c r="D30"/>
  <c r="D33"/>
  <c r="D29" i="31"/>
  <c r="D30"/>
  <c r="D33"/>
  <c r="D29" i="30"/>
  <c r="D30"/>
  <c r="D33"/>
  <c r="D29" i="29"/>
  <c r="D30"/>
  <c r="D33"/>
  <c r="D22"/>
  <c r="D29" i="28"/>
  <c r="D30"/>
  <c r="D33"/>
  <c r="D29" i="27"/>
  <c r="D30"/>
  <c r="D33"/>
  <c r="D29" i="26"/>
  <c r="D30"/>
  <c r="D33"/>
  <c r="C28"/>
  <c r="D29" i="25"/>
  <c r="D30"/>
  <c r="D33"/>
  <c r="E28"/>
  <c r="D28"/>
  <c r="C22"/>
  <c r="D29" i="24"/>
  <c r="D30"/>
  <c r="D33"/>
  <c r="D29" i="23"/>
  <c r="D30"/>
  <c r="D33"/>
  <c r="D29" i="22"/>
  <c r="D30"/>
  <c r="D33"/>
  <c r="D29" i="21"/>
  <c r="D30"/>
  <c r="D33"/>
  <c r="D29" i="20"/>
  <c r="D30"/>
  <c r="D33"/>
  <c r="D29" i="19"/>
  <c r="D30"/>
  <c r="D33"/>
  <c r="D29" i="18"/>
  <c r="D30"/>
  <c r="D33"/>
  <c r="D29" i="17"/>
  <c r="D30"/>
  <c r="D33"/>
  <c r="D29" i="16"/>
  <c r="D30"/>
  <c r="D33"/>
  <c r="D29" i="15"/>
  <c r="D30"/>
  <c r="D33"/>
  <c r="D33" i="14"/>
  <c r="D30"/>
  <c r="D29"/>
  <c r="D32" i="13"/>
  <c r="D33"/>
  <c r="D30"/>
  <c r="D29"/>
  <c r="D33" i="4"/>
  <c r="D30"/>
  <c r="D29"/>
  <c r="D33" i="5"/>
  <c r="D32"/>
  <c r="D30"/>
  <c r="C29"/>
  <c r="D29"/>
  <c r="C19"/>
  <c r="C32" i="7"/>
  <c r="D33"/>
  <c r="D32"/>
  <c r="D30"/>
  <c r="D29"/>
  <c r="D33" i="8"/>
  <c r="D30"/>
  <c r="D29"/>
  <c r="D33" i="9"/>
  <c r="D30"/>
  <c r="D29"/>
  <c r="D33" i="10"/>
  <c r="D30"/>
  <c r="D29"/>
  <c r="D33" i="11"/>
  <c r="D30"/>
  <c r="D29"/>
  <c r="D33" i="12"/>
  <c r="D30"/>
  <c r="D29"/>
  <c r="C22"/>
  <c r="E13" i="39"/>
  <c r="E15"/>
  <c r="E15" i="6"/>
  <c r="E13" s="1"/>
  <c r="E12" s="1"/>
  <c r="D15"/>
  <c r="C15"/>
  <c r="D13"/>
  <c r="D12" s="1"/>
  <c r="C13"/>
  <c r="C12"/>
  <c r="E33" i="38"/>
  <c r="E33" i="4"/>
  <c r="E33" i="37"/>
  <c r="E33" i="36"/>
  <c r="E33" i="34"/>
  <c r="E33" i="33"/>
  <c r="E33" i="32"/>
  <c r="E33" i="31"/>
  <c r="E33" i="30"/>
  <c r="E33" i="29"/>
  <c r="E33" i="28"/>
  <c r="E33" i="27"/>
  <c r="E33" i="26"/>
  <c r="E33" i="25"/>
  <c r="E33" i="24"/>
  <c r="E33" i="23"/>
  <c r="E33" i="22"/>
  <c r="E33" i="21"/>
  <c r="E33" i="20"/>
  <c r="E33" i="19"/>
  <c r="E33" i="18"/>
  <c r="E33" i="17"/>
  <c r="E33" i="16"/>
  <c r="E33" i="15"/>
  <c r="E33" i="14"/>
  <c r="E33" i="13"/>
  <c r="E33" i="12"/>
  <c r="E33" i="11"/>
  <c r="E33" i="9"/>
  <c r="E33" i="8"/>
  <c r="E33" i="7"/>
  <c r="E33" i="5"/>
  <c r="E33" i="3"/>
  <c r="E30" i="5"/>
  <c r="E32" i="38"/>
  <c r="E32" i="7"/>
  <c r="E32" i="5"/>
  <c r="E32" i="3"/>
  <c r="E32" i="13"/>
  <c r="E32" i="4"/>
  <c r="E29" i="39"/>
  <c r="E29" i="38"/>
  <c r="E29" i="37"/>
  <c r="E29" i="36"/>
  <c r="E29" i="33"/>
  <c r="E29" i="32"/>
  <c r="E29" i="31"/>
  <c r="E29" i="30"/>
  <c r="E29" i="29"/>
  <c r="E29" i="28"/>
  <c r="E29" i="27"/>
  <c r="E29" i="26"/>
  <c r="E29" i="25"/>
  <c r="E29" i="24"/>
  <c r="E29" i="23"/>
  <c r="E29" i="22"/>
  <c r="E29" i="21"/>
  <c r="E29" i="20"/>
  <c r="E29" i="19"/>
  <c r="E29" i="18"/>
  <c r="E29" i="17"/>
  <c r="E29" i="16"/>
  <c r="E29" i="15"/>
  <c r="E29" i="14"/>
  <c r="E29" i="13"/>
  <c r="E29" i="12"/>
  <c r="E29" i="11"/>
  <c r="E29" i="10"/>
  <c r="E29" i="9"/>
  <c r="E29" i="8"/>
  <c r="E29" i="7"/>
  <c r="E29" i="5"/>
  <c r="E29" i="4"/>
  <c r="E29" i="3"/>
  <c r="E30" i="38" l="1"/>
  <c r="E30" i="37"/>
  <c r="E30" i="36"/>
  <c r="E30" i="34"/>
  <c r="E30" i="33"/>
  <c r="E30" i="32"/>
  <c r="E30" i="31"/>
  <c r="E30" i="30"/>
  <c r="E30" i="29"/>
  <c r="E30" i="28"/>
  <c r="E30" i="27"/>
  <c r="E30" i="26"/>
  <c r="E30" i="25"/>
  <c r="E30" i="24"/>
  <c r="E30" i="23"/>
  <c r="E30" i="22"/>
  <c r="E30" i="21"/>
  <c r="E30" i="20"/>
  <c r="E30" i="19"/>
  <c r="E30" i="18"/>
  <c r="E30" i="17"/>
  <c r="E30" i="16"/>
  <c r="E30" i="15"/>
  <c r="E30" i="14"/>
  <c r="E30" i="13"/>
  <c r="E30" i="12"/>
  <c r="E30" i="11"/>
  <c r="E30" i="10"/>
  <c r="E30" i="9"/>
  <c r="E30" i="8"/>
  <c r="E30" i="7"/>
  <c r="E30" i="4"/>
  <c r="E30" i="3"/>
  <c r="E15" i="38" l="1"/>
  <c r="D15"/>
  <c r="D13" s="1"/>
  <c r="D12" s="1"/>
  <c r="C15"/>
  <c r="C13" s="1"/>
  <c r="C12" s="1"/>
  <c r="E13" l="1"/>
  <c r="E12" s="1"/>
  <c r="E15" i="37" l="1"/>
  <c r="E13" s="1"/>
  <c r="E12" s="1"/>
  <c r="D15"/>
  <c r="C15"/>
  <c r="C13" s="1"/>
  <c r="C12" s="1"/>
  <c r="D13"/>
  <c r="D12" s="1"/>
  <c r="E15" i="36"/>
  <c r="E13" s="1"/>
  <c r="E12" s="1"/>
  <c r="D15"/>
  <c r="C15"/>
  <c r="C13" s="1"/>
  <c r="C12" s="1"/>
  <c r="D13"/>
  <c r="D12" s="1"/>
  <c r="E15" i="34"/>
  <c r="E13" s="1"/>
  <c r="E12" s="1"/>
  <c r="D15"/>
  <c r="C15"/>
  <c r="C13" s="1"/>
  <c r="C12" s="1"/>
  <c r="D13"/>
  <c r="D12" s="1"/>
  <c r="E15" i="33"/>
  <c r="D15"/>
  <c r="D13" s="1"/>
  <c r="D12" s="1"/>
  <c r="C15"/>
  <c r="C13" s="1"/>
  <c r="C12" s="1"/>
  <c r="E15" i="32"/>
  <c r="E13" s="1"/>
  <c r="E12" s="1"/>
  <c r="D15"/>
  <c r="C15"/>
  <c r="C13" s="1"/>
  <c r="C12" s="1"/>
  <c r="D13"/>
  <c r="D12" s="1"/>
  <c r="E15" i="31"/>
  <c r="E13" s="1"/>
  <c r="E12" s="1"/>
  <c r="D15"/>
  <c r="C15"/>
  <c r="C13" s="1"/>
  <c r="C12" s="1"/>
  <c r="D13"/>
  <c r="D12" s="1"/>
  <c r="E15" i="30"/>
  <c r="E13" s="1"/>
  <c r="E12" s="1"/>
  <c r="D15"/>
  <c r="D13" s="1"/>
  <c r="D12" s="1"/>
  <c r="C15"/>
  <c r="C13" s="1"/>
  <c r="C12" s="1"/>
  <c r="E15" i="29"/>
  <c r="E13" s="1"/>
  <c r="E12" s="1"/>
  <c r="D15"/>
  <c r="C15"/>
  <c r="C13" s="1"/>
  <c r="C12" s="1"/>
  <c r="D13"/>
  <c r="D12" s="1"/>
  <c r="E15" i="28"/>
  <c r="E13" s="1"/>
  <c r="E12" s="1"/>
  <c r="D15"/>
  <c r="C15"/>
  <c r="C13" s="1"/>
  <c r="C12" s="1"/>
  <c r="D13"/>
  <c r="D12" s="1"/>
  <c r="E15" i="27"/>
  <c r="E13" s="1"/>
  <c r="E12" s="1"/>
  <c r="D15"/>
  <c r="C15"/>
  <c r="C13" s="1"/>
  <c r="C12" s="1"/>
  <c r="D13"/>
  <c r="D12" s="1"/>
  <c r="E15" i="26"/>
  <c r="E13" s="1"/>
  <c r="E12" s="1"/>
  <c r="D15"/>
  <c r="D13" s="1"/>
  <c r="D12" s="1"/>
  <c r="C15"/>
  <c r="C13" s="1"/>
  <c r="C12" s="1"/>
  <c r="E15" i="25"/>
  <c r="E13" s="1"/>
  <c r="E12" s="1"/>
  <c r="D15"/>
  <c r="D13" s="1"/>
  <c r="D12" s="1"/>
  <c r="C15"/>
  <c r="C13" s="1"/>
  <c r="C12" s="1"/>
  <c r="E15" i="24"/>
  <c r="E13" s="1"/>
  <c r="E12" s="1"/>
  <c r="D15"/>
  <c r="C15"/>
  <c r="C13" s="1"/>
  <c r="C12" s="1"/>
  <c r="D13"/>
  <c r="D12" s="1"/>
  <c r="E15" i="23"/>
  <c r="D15"/>
  <c r="D13" s="1"/>
  <c r="D12" s="1"/>
  <c r="C15"/>
  <c r="C13" s="1"/>
  <c r="C12" s="1"/>
  <c r="E15" i="22"/>
  <c r="E13" s="1"/>
  <c r="E12" s="1"/>
  <c r="D15"/>
  <c r="D13" s="1"/>
  <c r="D12" s="1"/>
  <c r="C15"/>
  <c r="C13" s="1"/>
  <c r="C12" s="1"/>
  <c r="E15" i="21"/>
  <c r="E13" s="1"/>
  <c r="E12" s="1"/>
  <c r="D15"/>
  <c r="D13" s="1"/>
  <c r="D12" s="1"/>
  <c r="C15"/>
  <c r="C13" s="1"/>
  <c r="C12" s="1"/>
  <c r="E15" i="20"/>
  <c r="E13" s="1"/>
  <c r="E12" s="1"/>
  <c r="D15"/>
  <c r="C15"/>
  <c r="C13" s="1"/>
  <c r="C12" s="1"/>
  <c r="D13"/>
  <c r="D12" s="1"/>
  <c r="E15" i="19"/>
  <c r="E13" s="1"/>
  <c r="E12" s="1"/>
  <c r="D15"/>
  <c r="C15"/>
  <c r="C13" s="1"/>
  <c r="C12" s="1"/>
  <c r="D13"/>
  <c r="D12" s="1"/>
  <c r="E15" i="18"/>
  <c r="E13" s="1"/>
  <c r="E12" s="1"/>
  <c r="D15"/>
  <c r="C15"/>
  <c r="C13" s="1"/>
  <c r="C12" s="1"/>
  <c r="D13"/>
  <c r="D12" s="1"/>
  <c r="E15" i="17"/>
  <c r="E13" s="1"/>
  <c r="E12" s="1"/>
  <c r="D15"/>
  <c r="C15"/>
  <c r="C13" s="1"/>
  <c r="C12" s="1"/>
  <c r="D13"/>
  <c r="D12" s="1"/>
  <c r="E15" i="16"/>
  <c r="E13" s="1"/>
  <c r="E12" s="1"/>
  <c r="D15"/>
  <c r="C15"/>
  <c r="C13" s="1"/>
  <c r="C12" s="1"/>
  <c r="D13"/>
  <c r="D12" s="1"/>
  <c r="E15" i="15"/>
  <c r="D15"/>
  <c r="D13" s="1"/>
  <c r="D12" s="1"/>
  <c r="C15"/>
  <c r="C13" s="1"/>
  <c r="C12" s="1"/>
  <c r="E15" i="14"/>
  <c r="D15"/>
  <c r="D13" s="1"/>
  <c r="D12" s="1"/>
  <c r="C15"/>
  <c r="C13" s="1"/>
  <c r="C12" s="1"/>
  <c r="E15" i="13"/>
  <c r="E13" s="1"/>
  <c r="E12" s="1"/>
  <c r="D15"/>
  <c r="C15"/>
  <c r="C13" s="1"/>
  <c r="C12" s="1"/>
  <c r="D13"/>
  <c r="D12" s="1"/>
  <c r="E15" i="12"/>
  <c r="E13" s="1"/>
  <c r="E12" s="1"/>
  <c r="D15"/>
  <c r="C15"/>
  <c r="C13" s="1"/>
  <c r="C12" s="1"/>
  <c r="D13"/>
  <c r="D12" s="1"/>
  <c r="E15" i="11"/>
  <c r="E13" s="1"/>
  <c r="E12" s="1"/>
  <c r="D15"/>
  <c r="C15"/>
  <c r="C13" s="1"/>
  <c r="C12" s="1"/>
  <c r="D13"/>
  <c r="D12" s="1"/>
  <c r="E15" i="10"/>
  <c r="E13" s="1"/>
  <c r="E12" s="1"/>
  <c r="D15"/>
  <c r="C15"/>
  <c r="C13" s="1"/>
  <c r="C12" s="1"/>
  <c r="D13"/>
  <c r="D12" s="1"/>
  <c r="E15" i="9"/>
  <c r="E13" s="1"/>
  <c r="E12" s="1"/>
  <c r="D15"/>
  <c r="C15"/>
  <c r="C13" s="1"/>
  <c r="C12" s="1"/>
  <c r="D13"/>
  <c r="D12" s="1"/>
  <c r="E15" i="8"/>
  <c r="E13" s="1"/>
  <c r="E12" s="1"/>
  <c r="D15"/>
  <c r="C15"/>
  <c r="C13" s="1"/>
  <c r="C12" s="1"/>
  <c r="D13"/>
  <c r="D12" s="1"/>
  <c r="E15" i="7"/>
  <c r="E13" s="1"/>
  <c r="E12" s="1"/>
  <c r="D15"/>
  <c r="C15"/>
  <c r="C13" s="1"/>
  <c r="C12" s="1"/>
  <c r="D13"/>
  <c r="D12" s="1"/>
  <c r="E15" i="5"/>
  <c r="E13" s="1"/>
  <c r="E12" s="1"/>
  <c r="D15"/>
  <c r="C15"/>
  <c r="C13" s="1"/>
  <c r="C12" s="1"/>
  <c r="D13"/>
  <c r="D12" s="1"/>
  <c r="E15" i="4"/>
  <c r="E13" s="1"/>
  <c r="E12" s="1"/>
  <c r="D15"/>
  <c r="C15"/>
  <c r="C13" s="1"/>
  <c r="C12" s="1"/>
  <c r="D13"/>
  <c r="D12" s="1"/>
  <c r="D33" i="2"/>
  <c r="C33"/>
  <c r="C29"/>
  <c r="C30"/>
  <c r="C32"/>
  <c r="E15" i="3"/>
  <c r="D15"/>
  <c r="C15"/>
  <c r="C13" s="1"/>
  <c r="E28" i="2"/>
  <c r="D28"/>
  <c r="E13" i="33" l="1"/>
  <c r="E12" s="1"/>
  <c r="E13" i="23"/>
  <c r="E12" s="1"/>
  <c r="E13" i="15"/>
  <c r="E12" s="1"/>
  <c r="E13" i="14"/>
  <c r="E12" s="1"/>
  <c r="E13" i="3"/>
  <c r="E15" i="2"/>
  <c r="D15"/>
  <c r="D13" s="1"/>
  <c r="D13" i="3" l="1"/>
  <c r="E12"/>
  <c r="E13" i="2"/>
  <c r="E12" s="1"/>
  <c r="D12" s="1"/>
  <c r="D12" i="3" l="1"/>
  <c r="C12" s="1"/>
  <c r="C15" i="2"/>
  <c r="C13" s="1"/>
  <c r="C12" s="1"/>
</calcChain>
</file>

<file path=xl/sharedStrings.xml><?xml version="1.0" encoding="utf-8"?>
<sst xmlns="http://schemas.openxmlformats.org/spreadsheetml/2006/main" count="2105" uniqueCount="45">
  <si>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</si>
  <si>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</si>
  <si>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</si>
  <si>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</si>
  <si>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</si>
  <si>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</si>
  <si>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</si>
  <si>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</si>
  <si>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</si>
  <si>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</si>
  <si>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</si>
  <si>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</si>
  <si>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</si>
  <si>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</si>
  <si>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</si>
  <si>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</si>
  <si>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</si>
  <si>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</si>
  <si>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</si>
  <si>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</si>
  <si>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</si>
  <si>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</si>
  <si>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</si>
  <si>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</si>
  <si>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</si>
  <si>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</si>
  <si>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</si>
  <si>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</si>
  <si>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</si>
  <si>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Руководитель                                  А.Жолдыгулова</t>
  </si>
  <si>
    <t>2019 год</t>
  </si>
  <si>
    <t>3.1. Административный персонал</t>
  </si>
  <si>
    <t>АРЭК</t>
  </si>
  <si>
    <t>КГУ "Школа - лицей  акимата Буландыского района"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</si>
  <si>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</si>
  <si>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</si>
  <si>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</si>
  <si>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</si>
  <si>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                                  Темиргалиева А.Е.</t>
  </si>
  <si>
    <t>исп. Зейнелхан .А</t>
  </si>
  <si>
    <t>тел. 871646-4-24-31</t>
  </si>
  <si>
    <t>Периодичность:  ежеквартально</t>
  </si>
  <si>
    <t>по состоянию на " 01" октября  2019 г.</t>
  </si>
  <si>
    <t>по состоянию на " 01" октября 2019 г.</t>
  </si>
  <si>
    <t>план на период третьего квартала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</si>
</sst>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164" fontId="2" fillId="2" borderId="2" xfId="0" applyNumberFormat="1" applyFont="1" applyFill="1" applyBorder="1"/>
    <xf numFmtId="9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2" borderId="2" xfId="0" applyNumberFormat="1" applyFont="1" applyFill="1" applyBorder="1"/>
    <xf numFmtId="2" fontId="2" fillId="0" borderId="2" xfId="0" applyNumberFormat="1" applyFont="1" applyBorder="1"/>
    <xf numFmtId="0" fontId="2" fillId="0" borderId="0" xfId="0" applyFont="1" applyFill="1" applyBorder="1"/>
    <xf numFmtId="0" fontId="8" fillId="0" borderId="2" xfId="0" applyFont="1" applyBorder="1"/>
    <xf numFmtId="164" fontId="8" fillId="0" borderId="2" xfId="0" applyNumberFormat="1" applyFont="1" applyBorder="1"/>
    <xf numFmtId="0" fontId="8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/>
    <xf numFmtId="1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4" fillId="0" borderId="0" xfId="0" applyFont="1"/>
    <xf numFmtId="0" fontId="8" fillId="2" borderId="0" xfId="0" applyFont="1" applyFill="1" applyBorder="1"/>
    <xf numFmtId="0" fontId="8" fillId="3" borderId="2" xfId="0" applyFont="1" applyFill="1" applyBorder="1"/>
    <xf numFmtId="164" fontId="8" fillId="3" borderId="2" xfId="0" applyNumberFormat="1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5" xfId="0" applyFont="1" applyBorder="1"/>
    <xf numFmtId="0" fontId="2" fillId="0" borderId="2" xfId="0" applyFont="1" applyFill="1" applyBorder="1"/>
    <xf numFmtId="0" fontId="15" fillId="0" borderId="0" xfId="0" applyFont="1"/>
    <xf numFmtId="0" fontId="16" fillId="0" borderId="0" xfId="0" applyFont="1"/>
    <xf numFmtId="164" fontId="14" fillId="0" borderId="0" xfId="0" applyNumberFormat="1" applyFont="1"/>
    <xf numFmtId="0" fontId="17" fillId="0" borderId="0" xfId="0" applyFont="1"/>
    <xf numFmtId="0" fontId="1" fillId="0" borderId="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8" fillId="0" borderId="2" xfId="0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/>
    <xf numFmtId="0" fontId="8" fillId="0" borderId="4" xfId="0" applyFont="1" applyFill="1" applyBorder="1"/>
    <xf numFmtId="0" fontId="8" fillId="0" borderId="6" xfId="0" applyFont="1" applyFill="1" applyBorder="1"/>
    <xf numFmtId="2" fontId="2" fillId="0" borderId="2" xfId="0" applyNumberFormat="1" applyFont="1" applyFill="1" applyBorder="1"/>
    <xf numFmtId="0" fontId="2" fillId="0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8"/>
  <sheetViews>
    <sheetView topLeftCell="A12" workbookViewId="0">
      <selection activeCell="C15" sqref="C15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4.570312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>
      <c r="A1" s="95" t="s">
        <v>15</v>
      </c>
      <c r="B1" s="95"/>
      <c r="C1" s="95"/>
      <c r="D1" s="95"/>
      <c r="E1" s="95"/>
    </row>
    <row r="2" spans="1:5">
      <c r="A2" s="95" t="s">
        <v>42</v>
      </c>
      <c r="B2" s="95"/>
      <c r="C2" s="95"/>
      <c r="D2" s="95"/>
      <c r="E2" s="95"/>
    </row>
    <row r="3" spans="1:5">
      <c r="A3" s="96" t="s">
        <v>28</v>
      </c>
      <c r="B3" s="96"/>
      <c r="C3" s="96"/>
      <c r="D3" s="96"/>
      <c r="E3" s="96"/>
    </row>
    <row r="4" spans="1:5">
      <c r="A4" s="96"/>
      <c r="B4" s="96"/>
      <c r="C4" s="96"/>
      <c r="D4" s="96"/>
      <c r="E4" s="96"/>
    </row>
    <row r="5" spans="1:5" ht="15.75" customHeight="1">
      <c r="A5" s="97" t="s">
        <v>16</v>
      </c>
      <c r="B5" s="97"/>
      <c r="C5" s="97"/>
      <c r="D5" s="97"/>
      <c r="E5" s="97"/>
    </row>
    <row r="6" spans="1:5">
      <c r="A6" s="4"/>
    </row>
    <row r="7" spans="1:5">
      <c r="A7" s="15" t="s">
        <v>41</v>
      </c>
    </row>
    <row r="8" spans="1:5">
      <c r="A8" s="1"/>
    </row>
    <row r="9" spans="1:5">
      <c r="A9" s="98" t="s">
        <v>27</v>
      </c>
      <c r="B9" s="99" t="s">
        <v>18</v>
      </c>
      <c r="C9" s="98" t="s">
        <v>30</v>
      </c>
      <c r="D9" s="98"/>
      <c r="E9" s="98"/>
    </row>
    <row r="10" spans="1:5" ht="81">
      <c r="A10" s="98"/>
      <c r="B10" s="99"/>
      <c r="C10" s="5" t="s">
        <v>19</v>
      </c>
      <c r="D10" s="78" t="s">
        <v>44</v>
      </c>
      <c r="E10" s="6" t="s">
        <v>14</v>
      </c>
    </row>
    <row r="11" spans="1:5">
      <c r="A11" s="7" t="s">
        <v>20</v>
      </c>
      <c r="B11" s="8" t="s">
        <v>10</v>
      </c>
      <c r="C11" s="30">
        <v>4733</v>
      </c>
      <c r="D11" s="30">
        <v>4733</v>
      </c>
      <c r="E11" s="30">
        <v>4733</v>
      </c>
    </row>
    <row r="12" spans="1:5" ht="25.5">
      <c r="A12" s="12" t="s">
        <v>23</v>
      </c>
      <c r="B12" s="8" t="s">
        <v>2</v>
      </c>
      <c r="C12" s="31">
        <f>C13/C11</f>
        <v>497.76908937249107</v>
      </c>
      <c r="D12" s="31">
        <f>D13/D11</f>
        <v>128.28468201986055</v>
      </c>
      <c r="E12" s="31">
        <f>E13/E11</f>
        <v>128.21504331290936</v>
      </c>
    </row>
    <row r="13" spans="1:5" ht="25.5">
      <c r="A13" s="7" t="s">
        <v>11</v>
      </c>
      <c r="B13" s="8" t="s">
        <v>2</v>
      </c>
      <c r="C13" s="30">
        <f>C15+C29+C30+C31+C32+C33</f>
        <v>2355941.1</v>
      </c>
      <c r="D13" s="32">
        <f>D15+D29+D30+D31+D32+D33</f>
        <v>607171.4</v>
      </c>
      <c r="E13" s="30">
        <f>E15+E29+E30+E31+E32+E33</f>
        <v>606841.79999999993</v>
      </c>
    </row>
    <row r="14" spans="1:5">
      <c r="A14" s="10" t="s">
        <v>0</v>
      </c>
      <c r="B14" s="11"/>
      <c r="C14" s="30"/>
      <c r="D14" s="30"/>
      <c r="E14" s="30"/>
    </row>
    <row r="15" spans="1:5" ht="25.5">
      <c r="A15" s="7" t="s">
        <v>12</v>
      </c>
      <c r="B15" s="8" t="s">
        <v>2</v>
      </c>
      <c r="C15" s="82">
        <f>C17+C20+C23+C26</f>
        <v>1857386</v>
      </c>
      <c r="D15" s="82">
        <f>D17+D20+D23+D26</f>
        <v>390768</v>
      </c>
      <c r="E15" s="83">
        <f>E17+E20+E23+E26</f>
        <v>390768</v>
      </c>
    </row>
    <row r="16" spans="1:5">
      <c r="A16" s="10" t="s">
        <v>1</v>
      </c>
      <c r="B16" s="11"/>
      <c r="C16" s="83"/>
      <c r="D16" s="83"/>
      <c r="E16" s="83"/>
    </row>
    <row r="17" spans="1:10" ht="25.5">
      <c r="A17" s="9" t="s">
        <v>31</v>
      </c>
      <c r="B17" s="8" t="s">
        <v>2</v>
      </c>
      <c r="C17" s="84">
        <v>92869.3</v>
      </c>
      <c r="D17" s="83">
        <v>19538.400000000001</v>
      </c>
      <c r="E17" s="83">
        <v>19538.400000000001</v>
      </c>
      <c r="F17" s="29"/>
      <c r="G17" s="29"/>
    </row>
    <row r="18" spans="1:10">
      <c r="A18" s="12" t="s">
        <v>4</v>
      </c>
      <c r="B18" s="13" t="s">
        <v>3</v>
      </c>
      <c r="C18" s="83">
        <v>94.8</v>
      </c>
      <c r="D18" s="83">
        <v>94.8</v>
      </c>
      <c r="E18" s="83">
        <v>94.8</v>
      </c>
      <c r="J18" s="27"/>
    </row>
    <row r="19" spans="1:10" ht="21.95" customHeight="1">
      <c r="A19" s="12" t="s">
        <v>25</v>
      </c>
      <c r="B19" s="8" t="s">
        <v>26</v>
      </c>
      <c r="C19" s="84">
        <v>103</v>
      </c>
      <c r="D19" s="84">
        <v>103</v>
      </c>
      <c r="E19" s="84">
        <v>103</v>
      </c>
    </row>
    <row r="20" spans="1:10" ht="25.5">
      <c r="A20" s="9" t="s">
        <v>21</v>
      </c>
      <c r="B20" s="8" t="s">
        <v>2</v>
      </c>
      <c r="C20" s="83">
        <v>1337317.92</v>
      </c>
      <c r="D20" s="83">
        <v>281352.96000000002</v>
      </c>
      <c r="E20" s="83">
        <v>281352.96000000002</v>
      </c>
      <c r="G20" s="29"/>
    </row>
    <row r="21" spans="1:10">
      <c r="A21" s="12" t="s">
        <v>4</v>
      </c>
      <c r="B21" s="13" t="s">
        <v>3</v>
      </c>
      <c r="C21" s="83">
        <v>963.5</v>
      </c>
      <c r="D21" s="83">
        <v>963.5</v>
      </c>
      <c r="E21" s="83">
        <v>963.5</v>
      </c>
    </row>
    <row r="22" spans="1:10" ht="21.95" customHeight="1">
      <c r="A22" s="12" t="s">
        <v>25</v>
      </c>
      <c r="B22" s="8" t="s">
        <v>26</v>
      </c>
      <c r="C22" s="83">
        <v>108.3</v>
      </c>
      <c r="D22" s="84">
        <v>108.3</v>
      </c>
      <c r="E22" s="84">
        <v>108.3</v>
      </c>
    </row>
    <row r="23" spans="1:10" ht="39">
      <c r="A23" s="16" t="s">
        <v>24</v>
      </c>
      <c r="B23" s="8" t="s">
        <v>2</v>
      </c>
      <c r="C23" s="83">
        <v>55721.58</v>
      </c>
      <c r="D23" s="83">
        <v>11723.04</v>
      </c>
      <c r="E23" s="83">
        <v>11723.04</v>
      </c>
      <c r="F23" s="29"/>
      <c r="G23" s="29"/>
    </row>
    <row r="24" spans="1:10">
      <c r="A24" s="12" t="s">
        <v>4</v>
      </c>
      <c r="B24" s="13" t="s">
        <v>3</v>
      </c>
      <c r="C24" s="83">
        <v>100.55</v>
      </c>
      <c r="D24" s="83">
        <v>100.55</v>
      </c>
      <c r="E24" s="83">
        <v>100.55</v>
      </c>
    </row>
    <row r="25" spans="1:10" ht="21.95" customHeight="1">
      <c r="A25" s="12" t="s">
        <v>25</v>
      </c>
      <c r="B25" s="8" t="s">
        <v>26</v>
      </c>
      <c r="C25" s="83">
        <v>67.400000000000006</v>
      </c>
      <c r="D25" s="84">
        <v>67.400000000000006</v>
      </c>
      <c r="E25" s="84">
        <v>67.400000000000006</v>
      </c>
      <c r="H25" s="26"/>
    </row>
    <row r="26" spans="1:10" ht="25.5">
      <c r="A26" s="9" t="s">
        <v>22</v>
      </c>
      <c r="B26" s="8" t="s">
        <v>2</v>
      </c>
      <c r="C26" s="84">
        <v>371477.2</v>
      </c>
      <c r="D26" s="83">
        <v>78153.600000000006</v>
      </c>
      <c r="E26" s="83">
        <v>78153.600000000006</v>
      </c>
      <c r="G26" s="29"/>
    </row>
    <row r="27" spans="1:10">
      <c r="A27" s="12" t="s">
        <v>4</v>
      </c>
      <c r="B27" s="13" t="s">
        <v>3</v>
      </c>
      <c r="C27" s="30">
        <v>108.15</v>
      </c>
      <c r="D27" s="30">
        <v>108.15</v>
      </c>
      <c r="E27" s="30">
        <v>108.15</v>
      </c>
    </row>
    <row r="28" spans="1:10" ht="21.95" customHeight="1">
      <c r="A28" s="12" t="s">
        <v>25</v>
      </c>
      <c r="B28" s="8" t="s">
        <v>26</v>
      </c>
      <c r="C28" s="30">
        <v>47.6</v>
      </c>
      <c r="D28" s="32">
        <f>D26/D27/9</f>
        <v>80.293419633225469</v>
      </c>
      <c r="E28" s="32">
        <f>E26/E27/9</f>
        <v>80.293419633225469</v>
      </c>
    </row>
    <row r="29" spans="1:10" ht="25.5">
      <c r="A29" s="7" t="s">
        <v>5</v>
      </c>
      <c r="B29" s="8" t="s">
        <v>2</v>
      </c>
      <c r="C29" s="33">
        <f>19873+11737+5608+78058+45038+21484</f>
        <v>181798</v>
      </c>
      <c r="D29" s="34">
        <v>40200.9</v>
      </c>
      <c r="E29" s="79">
        <v>39892.6</v>
      </c>
      <c r="F29" s="81"/>
    </row>
    <row r="30" spans="1:10" ht="36.75">
      <c r="A30" s="14" t="s">
        <v>6</v>
      </c>
      <c r="B30" s="8" t="s">
        <v>2</v>
      </c>
      <c r="C30" s="30">
        <f>198979+30117</f>
        <v>229096</v>
      </c>
      <c r="D30" s="30">
        <v>143564.6</v>
      </c>
      <c r="E30" s="38">
        <v>143564.6</v>
      </c>
      <c r="F30" s="81"/>
      <c r="G30" s="43"/>
    </row>
    <row r="31" spans="1:10" ht="25.5">
      <c r="A31" s="14" t="s">
        <v>7</v>
      </c>
      <c r="B31" s="8" t="s">
        <v>2</v>
      </c>
      <c r="C31" s="30">
        <v>0</v>
      </c>
      <c r="D31" s="30">
        <v>0</v>
      </c>
      <c r="E31" s="38">
        <v>0</v>
      </c>
      <c r="F31" s="43"/>
    </row>
    <row r="32" spans="1:10" ht="36.75">
      <c r="A32" s="14" t="s">
        <v>8</v>
      </c>
      <c r="B32" s="8" t="s">
        <v>2</v>
      </c>
      <c r="C32" s="35">
        <f>6996.1+500</f>
        <v>7496.1</v>
      </c>
      <c r="D32" s="35">
        <v>1203</v>
      </c>
      <c r="E32" s="80">
        <v>1203</v>
      </c>
      <c r="F32" s="81"/>
    </row>
    <row r="33" spans="1:6" ht="38.25" customHeight="1">
      <c r="A33" s="14" t="s">
        <v>9</v>
      </c>
      <c r="B33" s="8" t="s">
        <v>2</v>
      </c>
      <c r="C33" s="30">
        <f>488+10050+13637+26389+3902+22293+3+3050+350+3</f>
        <v>80165</v>
      </c>
      <c r="D33" s="30">
        <f>342.9+4498.2+4215+261+21759.5+2.8+355.5</f>
        <v>31434.899999999998</v>
      </c>
      <c r="E33" s="38">
        <v>31413.599999999999</v>
      </c>
      <c r="F33" s="81"/>
    </row>
    <row r="35" spans="1:6">
      <c r="A35" s="1" t="s">
        <v>29</v>
      </c>
    </row>
    <row r="37" spans="1:6">
      <c r="A37" s="19"/>
    </row>
    <row r="38" spans="1:6">
      <c r="A38" s="19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3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122</v>
      </c>
      <c r="D11" s="9">
        <v>122</v>
      </c>
      <c r="E11" s="9">
        <v>122</v>
      </c>
    </row>
    <row r="12" spans="1:6" ht="25.5">
      <c r="A12" s="12" t="s">
        <v>23</v>
      </c>
      <c r="B12" s="8" t="s">
        <v>2</v>
      </c>
      <c r="C12" s="18">
        <f>C13/C11</f>
        <v>1086.187704918033</v>
      </c>
      <c r="D12" s="18">
        <f>D13/D11</f>
        <v>166.18100819672134</v>
      </c>
      <c r="E12" s="18">
        <f>E13/E11</f>
        <v>166.18100819672134</v>
      </c>
    </row>
    <row r="13" spans="1:6" ht="25.5">
      <c r="A13" s="7" t="s">
        <v>11</v>
      </c>
      <c r="B13" s="8" t="s">
        <v>2</v>
      </c>
      <c r="C13" s="9">
        <f>C15+C29+C30+C31+C32+C33</f>
        <v>132514.90000000002</v>
      </c>
      <c r="D13" s="17">
        <f>D15+D29+D30+D31+D32+D33</f>
        <v>20274.083000000002</v>
      </c>
      <c r="E13" s="9">
        <f>E15+E29+E30+E31+E32+E33</f>
        <v>20274.083000000002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53496.400000000009</v>
      </c>
      <c r="D15" s="23">
        <f>D17+D20+D23+D26</f>
        <v>13374.100000000002</v>
      </c>
      <c r="E15" s="22">
        <f>E17+E20+E23+E26</f>
        <v>13374.100000000002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4148.8</v>
      </c>
      <c r="D17" s="68">
        <v>1037.2</v>
      </c>
      <c r="E17" s="68">
        <v>1037.2</v>
      </c>
    </row>
    <row r="18" spans="1:6">
      <c r="A18" s="12" t="s">
        <v>4</v>
      </c>
      <c r="B18" s="13" t="s">
        <v>3</v>
      </c>
      <c r="C18" s="73">
        <v>3</v>
      </c>
      <c r="D18" s="73">
        <v>3</v>
      </c>
      <c r="E18" s="73">
        <v>3</v>
      </c>
    </row>
    <row r="19" spans="1:6">
      <c r="A19" s="12" t="s">
        <v>25</v>
      </c>
      <c r="B19" s="8" t="s">
        <v>26</v>
      </c>
      <c r="C19" s="85">
        <v>115.2</v>
      </c>
      <c r="D19" s="85">
        <v>115.2</v>
      </c>
      <c r="E19" s="86">
        <v>115.2</v>
      </c>
    </row>
    <row r="20" spans="1:6" ht="25.5">
      <c r="A20" s="9" t="s">
        <v>21</v>
      </c>
      <c r="B20" s="8" t="s">
        <v>2</v>
      </c>
      <c r="C20" s="68">
        <v>38540.800000000003</v>
      </c>
      <c r="D20" s="68">
        <v>9635.2000000000007</v>
      </c>
      <c r="E20" s="68">
        <v>9635.2000000000007</v>
      </c>
    </row>
    <row r="21" spans="1:6">
      <c r="A21" s="12" t="s">
        <v>4</v>
      </c>
      <c r="B21" s="13" t="s">
        <v>3</v>
      </c>
      <c r="C21" s="73">
        <v>27.422000000000001</v>
      </c>
      <c r="D21" s="73">
        <v>27.422000000000001</v>
      </c>
      <c r="E21" s="73">
        <v>27.422000000000001</v>
      </c>
    </row>
    <row r="22" spans="1:6">
      <c r="A22" s="12" t="s">
        <v>25</v>
      </c>
      <c r="B22" s="8" t="s">
        <v>26</v>
      </c>
      <c r="C22" s="73">
        <v>117.1</v>
      </c>
      <c r="D22" s="85">
        <v>117.1</v>
      </c>
      <c r="E22" s="86">
        <v>117.2</v>
      </c>
    </row>
    <row r="23" spans="1:6" ht="39">
      <c r="A23" s="16" t="s">
        <v>24</v>
      </c>
      <c r="B23" s="8" t="s">
        <v>2</v>
      </c>
      <c r="C23" s="68">
        <v>1558.4</v>
      </c>
      <c r="D23" s="68">
        <v>389.6</v>
      </c>
      <c r="E23" s="68">
        <v>389.6</v>
      </c>
    </row>
    <row r="24" spans="1:6">
      <c r="A24" s="12" t="s">
        <v>4</v>
      </c>
      <c r="B24" s="13" t="s">
        <v>3</v>
      </c>
      <c r="C24" s="73">
        <v>1.95</v>
      </c>
      <c r="D24" s="73">
        <v>1.95</v>
      </c>
      <c r="E24" s="73">
        <v>1.95</v>
      </c>
    </row>
    <row r="25" spans="1:6">
      <c r="A25" s="12" t="s">
        <v>25</v>
      </c>
      <c r="B25" s="8" t="s">
        <v>26</v>
      </c>
      <c r="C25" s="73">
        <v>66.599999999999994</v>
      </c>
      <c r="D25" s="85">
        <v>66.599999999999994</v>
      </c>
      <c r="E25" s="86">
        <v>66.599999999999994</v>
      </c>
    </row>
    <row r="26" spans="1:6" ht="25.5">
      <c r="A26" s="9" t="s">
        <v>22</v>
      </c>
      <c r="B26" s="8" t="s">
        <v>2</v>
      </c>
      <c r="C26" s="68">
        <v>9248.4</v>
      </c>
      <c r="D26" s="68">
        <v>2312.1</v>
      </c>
      <c r="E26" s="68">
        <v>2312.1</v>
      </c>
    </row>
    <row r="27" spans="1:6">
      <c r="A27" s="12" t="s">
        <v>4</v>
      </c>
      <c r="B27" s="13" t="s">
        <v>3</v>
      </c>
      <c r="C27" s="22">
        <v>19.8</v>
      </c>
      <c r="D27" s="22">
        <v>19.8</v>
      </c>
      <c r="E27" s="22">
        <v>19.8</v>
      </c>
    </row>
    <row r="28" spans="1:6">
      <c r="A28" s="12" t="s">
        <v>25</v>
      </c>
      <c r="B28" s="8" t="s">
        <v>26</v>
      </c>
      <c r="C28" s="22">
        <v>38.9</v>
      </c>
      <c r="D28" s="28">
        <v>38.9</v>
      </c>
      <c r="E28" s="17">
        <v>38.9</v>
      </c>
    </row>
    <row r="29" spans="1:6" ht="25.5">
      <c r="A29" s="7" t="s">
        <v>5</v>
      </c>
      <c r="B29" s="8" t="s">
        <v>2</v>
      </c>
      <c r="C29" s="41">
        <v>6989.91</v>
      </c>
      <c r="D29" s="41">
        <f t="shared" ref="D29" si="0">(191078+682073+404712)/1000</f>
        <v>1277.8630000000001</v>
      </c>
      <c r="E29" s="41">
        <f>(191078+682073+404712)/1000</f>
        <v>1277.8630000000001</v>
      </c>
    </row>
    <row r="30" spans="1:6" ht="36.75">
      <c r="A30" s="14" t="s">
        <v>6</v>
      </c>
      <c r="B30" s="8" t="s">
        <v>2</v>
      </c>
      <c r="C30" s="9">
        <v>71384.100000000006</v>
      </c>
      <c r="D30" s="9">
        <f t="shared" ref="D30" si="1">671.5+4654.52+13.7+37.3+6.4</f>
        <v>5383.42</v>
      </c>
      <c r="E30" s="9">
        <f>671.5+4654.52+13.7+37.3+6.4</f>
        <v>5383.42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f t="shared" ref="D33" si="2"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6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5" t="s">
        <v>15</v>
      </c>
      <c r="B1" s="95"/>
      <c r="C1" s="95"/>
      <c r="D1" s="95"/>
      <c r="E1" s="95"/>
    </row>
    <row r="2" spans="1:5">
      <c r="A2" s="95" t="s">
        <v>42</v>
      </c>
      <c r="B2" s="95"/>
      <c r="C2" s="95"/>
      <c r="D2" s="95"/>
      <c r="E2" s="95"/>
    </row>
    <row r="3" spans="1:5">
      <c r="A3" s="96" t="s">
        <v>28</v>
      </c>
      <c r="B3" s="96"/>
      <c r="C3" s="96"/>
      <c r="D3" s="96"/>
      <c r="E3" s="96"/>
    </row>
    <row r="4" spans="1:5">
      <c r="A4" s="96"/>
      <c r="B4" s="96"/>
      <c r="C4" s="96"/>
      <c r="D4" s="96"/>
      <c r="E4" s="96"/>
    </row>
    <row r="5" spans="1:5">
      <c r="A5" s="97" t="s">
        <v>16</v>
      </c>
      <c r="B5" s="97"/>
      <c r="C5" s="97"/>
      <c r="D5" s="97"/>
      <c r="E5" s="97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8" t="s">
        <v>27</v>
      </c>
      <c r="B9" s="99" t="s">
        <v>18</v>
      </c>
      <c r="C9" s="98" t="s">
        <v>30</v>
      </c>
      <c r="D9" s="98"/>
      <c r="E9" s="98"/>
    </row>
    <row r="10" spans="1:5" ht="81">
      <c r="A10" s="98"/>
      <c r="B10" s="99"/>
      <c r="C10" s="25" t="s">
        <v>19</v>
      </c>
      <c r="D10" s="78" t="s">
        <v>44</v>
      </c>
      <c r="E10" s="24" t="s">
        <v>14</v>
      </c>
    </row>
    <row r="11" spans="1:5">
      <c r="A11" s="7" t="s">
        <v>20</v>
      </c>
      <c r="B11" s="8" t="s">
        <v>10</v>
      </c>
      <c r="C11" s="9">
        <v>160</v>
      </c>
      <c r="D11" s="9">
        <v>160</v>
      </c>
      <c r="E11" s="9">
        <v>160</v>
      </c>
    </row>
    <row r="12" spans="1:5" ht="25.5">
      <c r="A12" s="12" t="s">
        <v>23</v>
      </c>
      <c r="B12" s="8" t="s">
        <v>2</v>
      </c>
      <c r="C12" s="18">
        <f>C13/C11</f>
        <v>730.53612499999997</v>
      </c>
      <c r="D12" s="18">
        <f>D13/D11</f>
        <v>113.61883125</v>
      </c>
      <c r="E12" s="18">
        <f>E13/E11</f>
        <v>113.61883125</v>
      </c>
    </row>
    <row r="13" spans="1:5" ht="25.5">
      <c r="A13" s="7" t="s">
        <v>11</v>
      </c>
      <c r="B13" s="8" t="s">
        <v>2</v>
      </c>
      <c r="C13" s="9">
        <f>C15+C29+C30+C31+C32+C33</f>
        <v>116885.78</v>
      </c>
      <c r="D13" s="17">
        <f>D15+D29+D30+D31+D32+D33</f>
        <v>18179.012999999999</v>
      </c>
      <c r="E13" s="9">
        <f>E15+E29+E30+E31+E32+E33</f>
        <v>18179.012999999999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47361.18</v>
      </c>
      <c r="D15" s="23">
        <f>D17+D20+D23+D26</f>
        <v>11840.295</v>
      </c>
      <c r="E15" s="22">
        <f>E17+E20+E23+E26</f>
        <v>11840.295</v>
      </c>
    </row>
    <row r="16" spans="1:5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4234.38</v>
      </c>
      <c r="D17" s="86">
        <v>1058.595</v>
      </c>
      <c r="E17" s="68">
        <v>1058.595</v>
      </c>
    </row>
    <row r="18" spans="1:6">
      <c r="A18" s="12" t="s">
        <v>4</v>
      </c>
      <c r="B18" s="13" t="s">
        <v>3</v>
      </c>
      <c r="C18" s="73">
        <v>3</v>
      </c>
      <c r="D18" s="73">
        <v>3</v>
      </c>
      <c r="E18" s="73">
        <v>3</v>
      </c>
    </row>
    <row r="19" spans="1:6">
      <c r="A19" s="12" t="s">
        <v>25</v>
      </c>
      <c r="B19" s="8" t="s">
        <v>26</v>
      </c>
      <c r="C19" s="85">
        <v>117.6</v>
      </c>
      <c r="D19" s="85">
        <v>117.6</v>
      </c>
      <c r="E19" s="86">
        <v>117.6</v>
      </c>
    </row>
    <row r="20" spans="1:6" ht="25.5">
      <c r="A20" s="9" t="s">
        <v>21</v>
      </c>
      <c r="B20" s="8" t="s">
        <v>2</v>
      </c>
      <c r="C20" s="68">
        <v>33364.400000000001</v>
      </c>
      <c r="D20" s="68">
        <v>8341.1</v>
      </c>
      <c r="E20" s="68">
        <v>8341.1</v>
      </c>
    </row>
    <row r="21" spans="1:6">
      <c r="A21" s="12" t="s">
        <v>4</v>
      </c>
      <c r="B21" s="13" t="s">
        <v>3</v>
      </c>
      <c r="C21" s="73">
        <v>37.161000000000001</v>
      </c>
      <c r="D21" s="73">
        <v>37.161000000000001</v>
      </c>
      <c r="E21" s="73">
        <v>37.161000000000001</v>
      </c>
    </row>
    <row r="22" spans="1:6">
      <c r="A22" s="12" t="s">
        <v>25</v>
      </c>
      <c r="B22" s="8" t="s">
        <v>26</v>
      </c>
      <c r="C22" s="73">
        <f>C20/C21</f>
        <v>897.83375043728643</v>
      </c>
      <c r="D22" s="85">
        <v>224.45</v>
      </c>
      <c r="E22" s="86">
        <v>224.5</v>
      </c>
    </row>
    <row r="23" spans="1:6" ht="39">
      <c r="A23" s="16" t="s">
        <v>24</v>
      </c>
      <c r="B23" s="8" t="s">
        <v>2</v>
      </c>
      <c r="C23" s="68">
        <v>1753.6</v>
      </c>
      <c r="D23" s="68">
        <v>438.4</v>
      </c>
      <c r="E23" s="68">
        <v>438.4</v>
      </c>
    </row>
    <row r="24" spans="1:6">
      <c r="A24" s="12" t="s">
        <v>4</v>
      </c>
      <c r="B24" s="13" t="s">
        <v>3</v>
      </c>
      <c r="C24" s="73">
        <v>2</v>
      </c>
      <c r="D24" s="73">
        <v>2</v>
      </c>
      <c r="E24" s="73">
        <v>2</v>
      </c>
    </row>
    <row r="25" spans="1:6">
      <c r="A25" s="12" t="s">
        <v>25</v>
      </c>
      <c r="B25" s="8" t="s">
        <v>26</v>
      </c>
      <c r="C25" s="73">
        <v>119.2</v>
      </c>
      <c r="D25" s="73">
        <v>119.2</v>
      </c>
      <c r="E25" s="73">
        <v>119.2</v>
      </c>
    </row>
    <row r="26" spans="1:6" ht="25.5">
      <c r="A26" s="9" t="s">
        <v>22</v>
      </c>
      <c r="B26" s="8" t="s">
        <v>2</v>
      </c>
      <c r="C26" s="68">
        <v>8008.8</v>
      </c>
      <c r="D26" s="68">
        <v>2002.2</v>
      </c>
      <c r="E26" s="68">
        <v>2002.2</v>
      </c>
    </row>
    <row r="27" spans="1:6">
      <c r="A27" s="12" t="s">
        <v>4</v>
      </c>
      <c r="B27" s="13" t="s">
        <v>3</v>
      </c>
      <c r="C27" s="22">
        <v>20.25</v>
      </c>
      <c r="D27" s="22">
        <v>20.25</v>
      </c>
      <c r="E27" s="22">
        <v>20.25</v>
      </c>
    </row>
    <row r="28" spans="1:6">
      <c r="A28" s="12" t="s">
        <v>25</v>
      </c>
      <c r="B28" s="8" t="s">
        <v>26</v>
      </c>
      <c r="C28" s="22">
        <v>98.9</v>
      </c>
      <c r="D28" s="28">
        <v>98.9</v>
      </c>
      <c r="E28" s="17">
        <v>98.9</v>
      </c>
    </row>
    <row r="29" spans="1:6" ht="25.5">
      <c r="A29" s="7" t="s">
        <v>5</v>
      </c>
      <c r="B29" s="8" t="s">
        <v>2</v>
      </c>
      <c r="C29" s="41">
        <v>8489.81</v>
      </c>
      <c r="D29" s="41">
        <f t="shared" ref="D29" si="0">(223873+850930+477265)/1000</f>
        <v>1552.068</v>
      </c>
      <c r="E29" s="41">
        <f>(223873+850930+477265)/1000</f>
        <v>1552.068</v>
      </c>
    </row>
    <row r="30" spans="1:6" ht="36.75">
      <c r="A30" s="14" t="s">
        <v>6</v>
      </c>
      <c r="B30" s="8" t="s">
        <v>2</v>
      </c>
      <c r="C30" s="9">
        <v>60411.9</v>
      </c>
      <c r="D30" s="9">
        <f t="shared" ref="D30" si="1">352.5+4146.05+13.7+37.3+6.4</f>
        <v>4555.95</v>
      </c>
      <c r="E30" s="9">
        <f>352.5+4146.05+13.7+37.3+6.4</f>
        <v>4555.95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622.89</v>
      </c>
      <c r="D33" s="9">
        <f t="shared" ref="D33" si="2">5.8+8.8+190+3+(23100/1000)</f>
        <v>230.7</v>
      </c>
      <c r="E33" s="9">
        <f>5.8+8.8+190+3+(23100/1000)</f>
        <v>230.7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2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177</v>
      </c>
      <c r="D11" s="9">
        <v>177</v>
      </c>
      <c r="E11" s="9">
        <v>177</v>
      </c>
    </row>
    <row r="12" spans="1:6" ht="25.5">
      <c r="A12" s="12" t="s">
        <v>23</v>
      </c>
      <c r="B12" s="8" t="s">
        <v>2</v>
      </c>
      <c r="C12" s="18">
        <f>C13/C11</f>
        <v>918.50395480225984</v>
      </c>
      <c r="D12" s="18">
        <f>D13/D11</f>
        <v>160.41166101694915</v>
      </c>
      <c r="E12" s="18">
        <f>E13/E11</f>
        <v>160.41166101694915</v>
      </c>
    </row>
    <row r="13" spans="1:6" ht="25.5">
      <c r="A13" s="7" t="s">
        <v>11</v>
      </c>
      <c r="B13" s="8" t="s">
        <v>2</v>
      </c>
      <c r="C13" s="9">
        <f>C15+C29+C30+C31+C32+C33</f>
        <v>162575.19999999998</v>
      </c>
      <c r="D13" s="17">
        <f>D15+D29+D30+D31+D32+D33</f>
        <v>28392.863999999998</v>
      </c>
      <c r="E13" s="9">
        <f>E15+E29+E30+E31+E32+E33</f>
        <v>28392.863999999998</v>
      </c>
      <c r="F13" s="19"/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82923.999999999985</v>
      </c>
      <c r="D15" s="23">
        <f>D17+D20+D23+D26</f>
        <v>20730.499999999996</v>
      </c>
      <c r="E15" s="22">
        <f>E17+E20+E23+E26</f>
        <v>20730.499999999996</v>
      </c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5613.2</v>
      </c>
      <c r="D17" s="68">
        <v>1403.3</v>
      </c>
      <c r="E17" s="68">
        <v>1403.3</v>
      </c>
    </row>
    <row r="18" spans="1:6">
      <c r="A18" s="12" t="s">
        <v>4</v>
      </c>
      <c r="B18" s="13" t="s">
        <v>3</v>
      </c>
      <c r="C18" s="68">
        <v>5</v>
      </c>
      <c r="D18" s="68">
        <v>5</v>
      </c>
      <c r="E18" s="68">
        <v>5</v>
      </c>
    </row>
    <row r="19" spans="1:6">
      <c r="A19" s="12" t="s">
        <v>25</v>
      </c>
      <c r="B19" s="8" t="s">
        <v>26</v>
      </c>
      <c r="C19" s="86">
        <v>93.6</v>
      </c>
      <c r="D19" s="86">
        <v>93.6</v>
      </c>
      <c r="E19" s="86">
        <v>93.6</v>
      </c>
    </row>
    <row r="20" spans="1:6" ht="25.5">
      <c r="A20" s="9" t="s">
        <v>21</v>
      </c>
      <c r="B20" s="8" t="s">
        <v>2</v>
      </c>
      <c r="C20" s="68">
        <v>63998</v>
      </c>
      <c r="D20" s="68">
        <v>15999.5</v>
      </c>
      <c r="E20" s="68">
        <v>15999.5</v>
      </c>
    </row>
    <row r="21" spans="1:6">
      <c r="A21" s="12" t="s">
        <v>4</v>
      </c>
      <c r="B21" s="13" t="s">
        <v>3</v>
      </c>
      <c r="C21" s="68">
        <v>43.1</v>
      </c>
      <c r="D21" s="68">
        <v>43.1</v>
      </c>
      <c r="E21" s="68">
        <v>43.1</v>
      </c>
    </row>
    <row r="22" spans="1:6">
      <c r="A22" s="12" t="s">
        <v>25</v>
      </c>
      <c r="B22" s="8" t="s">
        <v>26</v>
      </c>
      <c r="C22" s="68">
        <v>123.7</v>
      </c>
      <c r="D22" s="86">
        <v>123.7</v>
      </c>
      <c r="E22" s="86">
        <v>123.7</v>
      </c>
    </row>
    <row r="23" spans="1:6" ht="39">
      <c r="A23" s="16" t="s">
        <v>24</v>
      </c>
      <c r="B23" s="8" t="s">
        <v>2</v>
      </c>
      <c r="C23" s="68">
        <v>2092.4</v>
      </c>
      <c r="D23" s="68">
        <v>522.6</v>
      </c>
      <c r="E23" s="68">
        <v>522.6</v>
      </c>
    </row>
    <row r="24" spans="1:6">
      <c r="A24" s="12" t="s">
        <v>4</v>
      </c>
      <c r="B24" s="13" t="s">
        <v>3</v>
      </c>
      <c r="C24" s="68">
        <v>4</v>
      </c>
      <c r="D24" s="68">
        <v>4</v>
      </c>
      <c r="E24" s="68">
        <v>4</v>
      </c>
    </row>
    <row r="25" spans="1:6">
      <c r="A25" s="12" t="s">
        <v>25</v>
      </c>
      <c r="B25" s="8" t="s">
        <v>26</v>
      </c>
      <c r="C25" s="68">
        <v>43.55</v>
      </c>
      <c r="D25" s="86">
        <v>43.55</v>
      </c>
      <c r="E25" s="86">
        <v>43.55</v>
      </c>
    </row>
    <row r="26" spans="1:6" ht="25.5">
      <c r="A26" s="9" t="s">
        <v>22</v>
      </c>
      <c r="B26" s="8" t="s">
        <v>2</v>
      </c>
      <c r="C26" s="68">
        <v>11220.4</v>
      </c>
      <c r="D26" s="68">
        <v>2805.1</v>
      </c>
      <c r="E26" s="68">
        <v>2805.1</v>
      </c>
    </row>
    <row r="27" spans="1:6">
      <c r="A27" s="12" t="s">
        <v>4</v>
      </c>
      <c r="B27" s="13" t="s">
        <v>3</v>
      </c>
      <c r="C27" s="66">
        <v>18.399999999999999</v>
      </c>
      <c r="D27" s="66">
        <v>18.399999999999999</v>
      </c>
      <c r="E27" s="44">
        <v>18.399999999999999</v>
      </c>
    </row>
    <row r="28" spans="1:6">
      <c r="A28" s="12" t="s">
        <v>25</v>
      </c>
      <c r="B28" s="8" t="s">
        <v>26</v>
      </c>
      <c r="C28" s="66">
        <v>50.8</v>
      </c>
      <c r="D28" s="67">
        <v>50.8</v>
      </c>
      <c r="E28" s="45">
        <v>50.8</v>
      </c>
    </row>
    <row r="29" spans="1:6" ht="25.5">
      <c r="A29" s="7" t="s">
        <v>5</v>
      </c>
      <c r="B29" s="8" t="s">
        <v>2</v>
      </c>
      <c r="C29" s="23">
        <v>11794.3</v>
      </c>
      <c r="D29" s="41">
        <f>(301014+1209277+645893)/1000</f>
        <v>2156.1840000000002</v>
      </c>
      <c r="E29" s="41">
        <f>(301014+1209277+645893)/1000</f>
        <v>2156.1840000000002</v>
      </c>
    </row>
    <row r="30" spans="1:6" ht="36.75">
      <c r="A30" s="14" t="s">
        <v>6</v>
      </c>
      <c r="B30" s="8" t="s">
        <v>2</v>
      </c>
      <c r="C30" s="22">
        <v>66488</v>
      </c>
      <c r="D30" s="9">
        <f>328.7+4631.28+13.7+37.3+3.2</f>
        <v>5014.1799999999994</v>
      </c>
      <c r="E30" s="9">
        <f>328.7+4631.28+13.7+37.3+3.2</f>
        <v>5014.1799999999994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>
        <v>162</v>
      </c>
      <c r="D32" s="22">
        <f>45000/1000</f>
        <v>45</v>
      </c>
      <c r="E32" s="22">
        <f>45000/1000</f>
        <v>45</v>
      </c>
    </row>
    <row r="33" spans="1:5" ht="52.5">
      <c r="A33" s="14" t="s">
        <v>9</v>
      </c>
      <c r="B33" s="8" t="s">
        <v>2</v>
      </c>
      <c r="C33" s="9">
        <v>1206.9000000000001</v>
      </c>
      <c r="D33" s="9">
        <f>71.3+5.8+8.8+190+3+143+(25100/1000)</f>
        <v>447</v>
      </c>
      <c r="E33" s="9">
        <f>71.3+5.8+8.8+190+3+143+(25100/1000)</f>
        <v>447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5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5" t="s">
        <v>15</v>
      </c>
      <c r="B1" s="95"/>
      <c r="C1" s="95"/>
      <c r="D1" s="95"/>
      <c r="E1" s="95"/>
    </row>
    <row r="2" spans="1:5">
      <c r="A2" s="95" t="s">
        <v>42</v>
      </c>
      <c r="B2" s="95"/>
      <c r="C2" s="95"/>
      <c r="D2" s="95"/>
      <c r="E2" s="95"/>
    </row>
    <row r="3" spans="1:5">
      <c r="A3" s="96" t="s">
        <v>28</v>
      </c>
      <c r="B3" s="96"/>
      <c r="C3" s="96"/>
      <c r="D3" s="96"/>
      <c r="E3" s="96"/>
    </row>
    <row r="4" spans="1:5">
      <c r="A4" s="96"/>
      <c r="B4" s="96"/>
      <c r="C4" s="96"/>
      <c r="D4" s="96"/>
      <c r="E4" s="96"/>
    </row>
    <row r="5" spans="1:5">
      <c r="A5" s="97" t="s">
        <v>16</v>
      </c>
      <c r="B5" s="97"/>
      <c r="C5" s="97"/>
      <c r="D5" s="97"/>
      <c r="E5" s="97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8" t="s">
        <v>27</v>
      </c>
      <c r="B9" s="99" t="s">
        <v>18</v>
      </c>
      <c r="C9" s="98" t="s">
        <v>30</v>
      </c>
      <c r="D9" s="98"/>
      <c r="E9" s="98"/>
    </row>
    <row r="10" spans="1:5" ht="81">
      <c r="A10" s="98"/>
      <c r="B10" s="99"/>
      <c r="C10" s="25" t="s">
        <v>19</v>
      </c>
      <c r="D10" s="78" t="s">
        <v>44</v>
      </c>
      <c r="E10" s="24" t="s">
        <v>14</v>
      </c>
    </row>
    <row r="11" spans="1:5">
      <c r="A11" s="7" t="s">
        <v>20</v>
      </c>
      <c r="B11" s="8" t="s">
        <v>10</v>
      </c>
      <c r="C11" s="9">
        <v>115</v>
      </c>
      <c r="D11" s="9">
        <v>115</v>
      </c>
      <c r="E11" s="9">
        <v>115</v>
      </c>
    </row>
    <row r="12" spans="1:5" ht="25.5">
      <c r="A12" s="12" t="s">
        <v>23</v>
      </c>
      <c r="B12" s="8" t="s">
        <v>2</v>
      </c>
      <c r="C12" s="18">
        <f>C13/C11</f>
        <v>1325.5269565217388</v>
      </c>
      <c r="D12" s="18">
        <f>D13/D11</f>
        <v>202.7616086956522</v>
      </c>
      <c r="E12" s="18">
        <f>E13/E11</f>
        <v>202.7616086956522</v>
      </c>
    </row>
    <row r="13" spans="1:5" ht="25.5">
      <c r="A13" s="7" t="s">
        <v>11</v>
      </c>
      <c r="B13" s="8" t="s">
        <v>2</v>
      </c>
      <c r="C13" s="9">
        <f>C15+C29+C30+C31+C32+C33</f>
        <v>152435.59999999998</v>
      </c>
      <c r="D13" s="17">
        <f>D15+D29+D30+D31+D32+D33</f>
        <v>23317.585000000003</v>
      </c>
      <c r="E13" s="9">
        <f>E15+E29+E30+E31+E32+E33</f>
        <v>23317.585000000003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61700.600000000006</v>
      </c>
      <c r="D15" s="23">
        <f>D17+D20+D23+D26</f>
        <v>15424.900000000001</v>
      </c>
      <c r="E15" s="22">
        <f>E17+E20+E23+E26</f>
        <v>15424.900000000001</v>
      </c>
    </row>
    <row r="16" spans="1:5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3762.4</v>
      </c>
      <c r="D17" s="68">
        <v>940.6</v>
      </c>
      <c r="E17" s="68">
        <v>940.6</v>
      </c>
    </row>
    <row r="18" spans="1:6">
      <c r="A18" s="12" t="s">
        <v>4</v>
      </c>
      <c r="B18" s="13" t="s">
        <v>3</v>
      </c>
      <c r="C18" s="68">
        <v>3</v>
      </c>
      <c r="D18" s="68">
        <v>3</v>
      </c>
      <c r="E18" s="68">
        <v>3</v>
      </c>
    </row>
    <row r="19" spans="1:6">
      <c r="A19" s="12" t="s">
        <v>25</v>
      </c>
      <c r="B19" s="8" t="s">
        <v>26</v>
      </c>
      <c r="C19" s="86">
        <v>104.5</v>
      </c>
      <c r="D19" s="86">
        <v>104.5</v>
      </c>
      <c r="E19" s="86">
        <v>104.5</v>
      </c>
    </row>
    <row r="20" spans="1:6" ht="25.5">
      <c r="A20" s="9" t="s">
        <v>21</v>
      </c>
      <c r="B20" s="8" t="s">
        <v>2</v>
      </c>
      <c r="C20" s="68">
        <v>42600.800000000003</v>
      </c>
      <c r="D20" s="68">
        <v>10650.2</v>
      </c>
      <c r="E20" s="68">
        <v>10650.2</v>
      </c>
    </row>
    <row r="21" spans="1:6">
      <c r="A21" s="12" t="s">
        <v>4</v>
      </c>
      <c r="B21" s="13" t="s">
        <v>3</v>
      </c>
      <c r="C21" s="68">
        <v>27</v>
      </c>
      <c r="D21" s="68">
        <v>27</v>
      </c>
      <c r="E21" s="68">
        <v>27</v>
      </c>
    </row>
    <row r="22" spans="1:6">
      <c r="A22" s="12" t="s">
        <v>25</v>
      </c>
      <c r="B22" s="8" t="s">
        <v>26</v>
      </c>
      <c r="C22" s="68">
        <v>131.5</v>
      </c>
      <c r="D22" s="86">
        <v>131.5</v>
      </c>
      <c r="E22" s="86">
        <v>131.5</v>
      </c>
    </row>
    <row r="23" spans="1:6" ht="39">
      <c r="A23" s="16" t="s">
        <v>24</v>
      </c>
      <c r="B23" s="8" t="s">
        <v>2</v>
      </c>
      <c r="C23" s="68">
        <v>3504.8</v>
      </c>
      <c r="D23" s="68">
        <v>876.2</v>
      </c>
      <c r="E23" s="68">
        <v>876.2</v>
      </c>
    </row>
    <row r="24" spans="1:6">
      <c r="A24" s="12" t="s">
        <v>4</v>
      </c>
      <c r="B24" s="13" t="s">
        <v>3</v>
      </c>
      <c r="C24" s="68">
        <v>4</v>
      </c>
      <c r="D24" s="68">
        <v>4</v>
      </c>
      <c r="E24" s="68">
        <v>4</v>
      </c>
    </row>
    <row r="25" spans="1:6">
      <c r="A25" s="12" t="s">
        <v>25</v>
      </c>
      <c r="B25" s="8" t="s">
        <v>26</v>
      </c>
      <c r="C25" s="68">
        <v>73</v>
      </c>
      <c r="D25" s="86">
        <v>73</v>
      </c>
      <c r="E25" s="86">
        <v>73</v>
      </c>
    </row>
    <row r="26" spans="1:6" ht="25.5">
      <c r="A26" s="9" t="s">
        <v>22</v>
      </c>
      <c r="B26" s="8" t="s">
        <v>2</v>
      </c>
      <c r="C26" s="68">
        <v>11832.6</v>
      </c>
      <c r="D26" s="68">
        <v>2957.9</v>
      </c>
      <c r="E26" s="68">
        <v>2957.9</v>
      </c>
    </row>
    <row r="27" spans="1:6">
      <c r="A27" s="12" t="s">
        <v>4</v>
      </c>
      <c r="B27" s="13" t="s">
        <v>3</v>
      </c>
      <c r="C27" s="66">
        <v>21.3</v>
      </c>
      <c r="D27" s="66">
        <v>21.3</v>
      </c>
      <c r="E27" s="66">
        <v>21.3</v>
      </c>
    </row>
    <row r="28" spans="1:6">
      <c r="A28" s="12" t="s">
        <v>25</v>
      </c>
      <c r="B28" s="8" t="s">
        <v>26</v>
      </c>
      <c r="C28" s="66">
        <v>46.3</v>
      </c>
      <c r="D28" s="66">
        <v>46.3</v>
      </c>
      <c r="E28" s="66">
        <v>46.3</v>
      </c>
    </row>
    <row r="29" spans="1:6" ht="25.5">
      <c r="A29" s="7" t="s">
        <v>5</v>
      </c>
      <c r="B29" s="8" t="s">
        <v>2</v>
      </c>
      <c r="C29" s="23">
        <v>8005.81</v>
      </c>
      <c r="D29" s="41">
        <f>(197194+849707+416684)/1000</f>
        <v>1463.585</v>
      </c>
      <c r="E29" s="41">
        <f>(197194+849707+416684)/1000</f>
        <v>1463.585</v>
      </c>
    </row>
    <row r="30" spans="1:6" ht="36.75">
      <c r="A30" s="14" t="s">
        <v>6</v>
      </c>
      <c r="B30" s="8" t="s">
        <v>2</v>
      </c>
      <c r="C30" s="22">
        <v>82084.7</v>
      </c>
      <c r="D30" s="9">
        <f>283.4+5852.8+13.7+37.3+3.2</f>
        <v>6190.4</v>
      </c>
      <c r="E30" s="9">
        <f>283.4+5852.8+13.7+37.3+3.2</f>
        <v>6190.4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f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3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5" t="s">
        <v>15</v>
      </c>
      <c r="B1" s="95"/>
      <c r="C1" s="95"/>
      <c r="D1" s="95"/>
      <c r="E1" s="95"/>
    </row>
    <row r="2" spans="1:5">
      <c r="A2" s="95" t="s">
        <v>42</v>
      </c>
      <c r="B2" s="95"/>
      <c r="C2" s="95"/>
      <c r="D2" s="95"/>
      <c r="E2" s="95"/>
    </row>
    <row r="3" spans="1:5">
      <c r="A3" s="96" t="s">
        <v>28</v>
      </c>
      <c r="B3" s="96"/>
      <c r="C3" s="96"/>
      <c r="D3" s="96"/>
      <c r="E3" s="96"/>
    </row>
    <row r="4" spans="1:5">
      <c r="A4" s="96"/>
      <c r="B4" s="96"/>
      <c r="C4" s="96"/>
      <c r="D4" s="96"/>
      <c r="E4" s="96"/>
    </row>
    <row r="5" spans="1:5">
      <c r="A5" s="97" t="s">
        <v>16</v>
      </c>
      <c r="B5" s="97"/>
      <c r="C5" s="97"/>
      <c r="D5" s="97"/>
      <c r="E5" s="97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8" t="s">
        <v>27</v>
      </c>
      <c r="B9" s="99" t="s">
        <v>18</v>
      </c>
      <c r="C9" s="98" t="s">
        <v>30</v>
      </c>
      <c r="D9" s="98"/>
      <c r="E9" s="98"/>
    </row>
    <row r="10" spans="1:5" ht="81">
      <c r="A10" s="98"/>
      <c r="B10" s="99"/>
      <c r="C10" s="25" t="s">
        <v>19</v>
      </c>
      <c r="D10" s="78" t="s">
        <v>44</v>
      </c>
      <c r="E10" s="24" t="s">
        <v>14</v>
      </c>
    </row>
    <row r="11" spans="1:5">
      <c r="A11" s="7" t="s">
        <v>20</v>
      </c>
      <c r="B11" s="8" t="s">
        <v>10</v>
      </c>
      <c r="C11" s="9">
        <v>103</v>
      </c>
      <c r="D11" s="9">
        <v>103</v>
      </c>
      <c r="E11" s="9">
        <v>103</v>
      </c>
    </row>
    <row r="12" spans="1:5" ht="25.5">
      <c r="A12" s="12" t="s">
        <v>23</v>
      </c>
      <c r="B12" s="8" t="s">
        <v>2</v>
      </c>
      <c r="C12" s="18">
        <f>C13/C11</f>
        <v>1336.243203883495</v>
      </c>
      <c r="D12" s="18">
        <f>D13/D11</f>
        <v>209.949640776699</v>
      </c>
      <c r="E12" s="18">
        <f>E13/E11</f>
        <v>209.949640776699</v>
      </c>
    </row>
    <row r="13" spans="1:5" ht="25.5">
      <c r="A13" s="7" t="s">
        <v>11</v>
      </c>
      <c r="B13" s="8" t="s">
        <v>2</v>
      </c>
      <c r="C13" s="9">
        <f>C15+C29+C30+C31+C32+C33</f>
        <v>137633.04999999999</v>
      </c>
      <c r="D13" s="17">
        <f>D15+D29+D30+D31+D32+D33</f>
        <v>21624.812999999998</v>
      </c>
      <c r="E13" s="9">
        <f>E15+E29+E30+E31+E32+E33</f>
        <v>21624.812999999998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58703.199999999997</v>
      </c>
      <c r="D15" s="23">
        <f>D17+D20+D23+D26</f>
        <v>14675.9</v>
      </c>
      <c r="E15" s="22">
        <f>E17+E20+E23+E26</f>
        <v>14675.9</v>
      </c>
    </row>
    <row r="16" spans="1:5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2701.2</v>
      </c>
      <c r="D17" s="68">
        <v>675.3</v>
      </c>
      <c r="E17" s="68">
        <v>675.3</v>
      </c>
    </row>
    <row r="18" spans="1:6">
      <c r="A18" s="12" t="s">
        <v>4</v>
      </c>
      <c r="B18" s="13" t="s">
        <v>3</v>
      </c>
      <c r="C18" s="73">
        <v>2.5</v>
      </c>
      <c r="D18" s="73">
        <v>2.5</v>
      </c>
      <c r="E18" s="73">
        <v>2.5</v>
      </c>
    </row>
    <row r="19" spans="1:6">
      <c r="A19" s="12" t="s">
        <v>25</v>
      </c>
      <c r="B19" s="8" t="s">
        <v>26</v>
      </c>
      <c r="C19" s="85">
        <v>90</v>
      </c>
      <c r="D19" s="85">
        <v>90</v>
      </c>
      <c r="E19" s="86">
        <v>90</v>
      </c>
    </row>
    <row r="20" spans="1:6" ht="25.5">
      <c r="A20" s="9" t="s">
        <v>21</v>
      </c>
      <c r="B20" s="8" t="s">
        <v>2</v>
      </c>
      <c r="C20" s="68">
        <v>43460.800000000003</v>
      </c>
      <c r="D20" s="68">
        <v>10865.2</v>
      </c>
      <c r="E20" s="68">
        <v>10865.2</v>
      </c>
    </row>
    <row r="21" spans="1:6">
      <c r="A21" s="12" t="s">
        <v>4</v>
      </c>
      <c r="B21" s="13" t="s">
        <v>3</v>
      </c>
      <c r="C21" s="85">
        <v>25.321999999999999</v>
      </c>
      <c r="D21" s="85">
        <v>25.321999999999999</v>
      </c>
      <c r="E21" s="86">
        <v>25.321999999999999</v>
      </c>
    </row>
    <row r="22" spans="1:6">
      <c r="A22" s="12" t="s">
        <v>25</v>
      </c>
      <c r="B22" s="8" t="s">
        <v>26</v>
      </c>
      <c r="C22" s="73">
        <v>143</v>
      </c>
      <c r="D22" s="85">
        <v>143</v>
      </c>
      <c r="E22" s="86">
        <v>143</v>
      </c>
    </row>
    <row r="23" spans="1:6" ht="39">
      <c r="A23" s="16" t="s">
        <v>24</v>
      </c>
      <c r="B23" s="8" t="s">
        <v>2</v>
      </c>
      <c r="C23" s="68">
        <v>2701.2</v>
      </c>
      <c r="D23" s="68">
        <v>675.3</v>
      </c>
      <c r="E23" s="68">
        <v>675.3</v>
      </c>
    </row>
    <row r="24" spans="1:6">
      <c r="A24" s="12" t="s">
        <v>4</v>
      </c>
      <c r="B24" s="13" t="s">
        <v>3</v>
      </c>
      <c r="C24" s="73">
        <v>2.1</v>
      </c>
      <c r="D24" s="73">
        <v>2.1</v>
      </c>
      <c r="E24" s="73">
        <v>2.1</v>
      </c>
    </row>
    <row r="25" spans="1:6">
      <c r="A25" s="12" t="s">
        <v>25</v>
      </c>
      <c r="B25" s="8" t="s">
        <v>26</v>
      </c>
      <c r="C25" s="73">
        <v>79.099999999999994</v>
      </c>
      <c r="D25" s="85">
        <v>79.099999999999994</v>
      </c>
      <c r="E25" s="86">
        <v>79.099999999999994</v>
      </c>
    </row>
    <row r="26" spans="1:6" ht="25.5">
      <c r="A26" s="9" t="s">
        <v>22</v>
      </c>
      <c r="B26" s="8" t="s">
        <v>2</v>
      </c>
      <c r="C26" s="68">
        <v>9840</v>
      </c>
      <c r="D26" s="68">
        <v>2460.1</v>
      </c>
      <c r="E26" s="68">
        <v>2460.1</v>
      </c>
    </row>
    <row r="27" spans="1:6">
      <c r="A27" s="12" t="s">
        <v>4</v>
      </c>
      <c r="B27" s="13" t="s">
        <v>3</v>
      </c>
      <c r="C27" s="22">
        <v>22.4</v>
      </c>
      <c r="D27" s="22">
        <v>22.4</v>
      </c>
      <c r="E27" s="9">
        <v>22.4</v>
      </c>
    </row>
    <row r="28" spans="1:6">
      <c r="A28" s="12" t="s">
        <v>25</v>
      </c>
      <c r="B28" s="8" t="s">
        <v>26</v>
      </c>
      <c r="C28" s="22">
        <v>36.6</v>
      </c>
      <c r="D28" s="28">
        <v>36.6</v>
      </c>
      <c r="E28" s="17">
        <v>36.6</v>
      </c>
    </row>
    <row r="29" spans="1:6" ht="25.5">
      <c r="A29" s="7" t="s">
        <v>5</v>
      </c>
      <c r="B29" s="8" t="s">
        <v>2</v>
      </c>
      <c r="C29" s="23">
        <v>7507.76</v>
      </c>
      <c r="D29" s="41">
        <f>(202188+738927+431418)/1000</f>
        <v>1372.5329999999999</v>
      </c>
      <c r="E29" s="41">
        <f>(202188+738927+431418)/1000</f>
        <v>1372.5329999999999</v>
      </c>
    </row>
    <row r="30" spans="1:6" ht="36.75">
      <c r="A30" s="14" t="s">
        <v>6</v>
      </c>
      <c r="B30" s="8" t="s">
        <v>2</v>
      </c>
      <c r="C30" s="22">
        <v>70777.600000000006</v>
      </c>
      <c r="D30" s="9">
        <f>194.8+4946.88+47.9+87.5+13.7+37.3+9.6</f>
        <v>5337.68</v>
      </c>
      <c r="E30" s="9">
        <f>194.8+4946.88+47.9+87.5+13.7+37.3+9.6</f>
        <v>5337.68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f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73</v>
      </c>
      <c r="D11" s="9">
        <v>73</v>
      </c>
      <c r="E11" s="9">
        <v>73</v>
      </c>
    </row>
    <row r="12" spans="1:6" ht="25.5">
      <c r="A12" s="12" t="s">
        <v>23</v>
      </c>
      <c r="B12" s="8" t="s">
        <v>2</v>
      </c>
      <c r="C12" s="18">
        <f>C13/C11</f>
        <v>1979.0702739726028</v>
      </c>
      <c r="D12" s="18">
        <f>D13/D11</f>
        <v>272.65187671232883</v>
      </c>
      <c r="E12" s="18">
        <f>E13/E11</f>
        <v>272.65187671232883</v>
      </c>
    </row>
    <row r="13" spans="1:6" ht="25.5">
      <c r="A13" s="7" t="s">
        <v>11</v>
      </c>
      <c r="B13" s="8" t="s">
        <v>2</v>
      </c>
      <c r="C13" s="9">
        <f>C15+C29+C30+C31+C32+C33</f>
        <v>144472.13</v>
      </c>
      <c r="D13" s="17">
        <f>D15+D29+D30+D31+D32+D33</f>
        <v>19903.587000000003</v>
      </c>
      <c r="E13" s="9">
        <f>E15+E29+E30+E31+E32+E33</f>
        <v>19903.587000000003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46638.400000000001</v>
      </c>
      <c r="D15" s="23">
        <f>D17+D20+D23+D26</f>
        <v>11659.6</v>
      </c>
      <c r="E15" s="22">
        <f>E17+E20+E23+E26</f>
        <v>11659.6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2664.8</v>
      </c>
      <c r="D17" s="68">
        <v>666.2</v>
      </c>
      <c r="E17" s="68">
        <v>666.2</v>
      </c>
    </row>
    <row r="18" spans="1:6">
      <c r="A18" s="12" t="s">
        <v>4</v>
      </c>
      <c r="B18" s="13" t="s">
        <v>3</v>
      </c>
      <c r="C18" s="73">
        <v>2</v>
      </c>
      <c r="D18" s="73">
        <v>3</v>
      </c>
      <c r="E18" s="73">
        <v>3</v>
      </c>
    </row>
    <row r="19" spans="1:6">
      <c r="A19" s="12" t="s">
        <v>25</v>
      </c>
      <c r="B19" s="8" t="s">
        <v>26</v>
      </c>
      <c r="C19" s="85">
        <v>111</v>
      </c>
      <c r="D19" s="85">
        <v>111</v>
      </c>
      <c r="E19" s="86">
        <v>111</v>
      </c>
    </row>
    <row r="20" spans="1:6" ht="25.5">
      <c r="A20" s="9" t="s">
        <v>21</v>
      </c>
      <c r="B20" s="8" t="s">
        <v>2</v>
      </c>
      <c r="C20" s="68">
        <v>34225.599999999999</v>
      </c>
      <c r="D20" s="68">
        <v>8556.4</v>
      </c>
      <c r="E20" s="68">
        <v>8556.4</v>
      </c>
    </row>
    <row r="21" spans="1:6">
      <c r="A21" s="12" t="s">
        <v>4</v>
      </c>
      <c r="B21" s="13" t="s">
        <v>3</v>
      </c>
      <c r="C21" s="73">
        <v>24.806000000000001</v>
      </c>
      <c r="D21" s="73">
        <v>24.806000000000001</v>
      </c>
      <c r="E21" s="73">
        <v>24.806000000000001</v>
      </c>
    </row>
    <row r="22" spans="1:6">
      <c r="A22" s="12" t="s">
        <v>25</v>
      </c>
      <c r="B22" s="8" t="s">
        <v>26</v>
      </c>
      <c r="C22" s="73">
        <v>115</v>
      </c>
      <c r="D22" s="85">
        <v>115</v>
      </c>
      <c r="E22" s="86">
        <v>115</v>
      </c>
    </row>
    <row r="23" spans="1:6" ht="39">
      <c r="A23" s="16" t="s">
        <v>24</v>
      </c>
      <c r="B23" s="8" t="s">
        <v>2</v>
      </c>
      <c r="C23" s="68">
        <v>1020</v>
      </c>
      <c r="D23" s="68">
        <v>255</v>
      </c>
      <c r="E23" s="68">
        <v>255</v>
      </c>
    </row>
    <row r="24" spans="1:6">
      <c r="A24" s="12" t="s">
        <v>4</v>
      </c>
      <c r="B24" s="13" t="s">
        <v>3</v>
      </c>
      <c r="C24" s="73">
        <v>1.25</v>
      </c>
      <c r="D24" s="73">
        <v>1.25</v>
      </c>
      <c r="E24" s="73">
        <v>1.25</v>
      </c>
    </row>
    <row r="25" spans="1:6">
      <c r="A25" s="12" t="s">
        <v>25</v>
      </c>
      <c r="B25" s="8" t="s">
        <v>26</v>
      </c>
      <c r="C25" s="73">
        <v>68</v>
      </c>
      <c r="D25" s="73">
        <v>68</v>
      </c>
      <c r="E25" s="73">
        <v>68</v>
      </c>
    </row>
    <row r="26" spans="1:6" ht="25.5">
      <c r="A26" s="9" t="s">
        <v>22</v>
      </c>
      <c r="B26" s="8" t="s">
        <v>2</v>
      </c>
      <c r="C26" s="68">
        <v>8728</v>
      </c>
      <c r="D26" s="68">
        <v>2182</v>
      </c>
      <c r="E26" s="68">
        <v>2182</v>
      </c>
    </row>
    <row r="27" spans="1:6">
      <c r="A27" s="12" t="s">
        <v>4</v>
      </c>
      <c r="B27" s="13" t="s">
        <v>3</v>
      </c>
      <c r="C27" s="22">
        <v>16.75</v>
      </c>
      <c r="D27" s="22">
        <v>16.75</v>
      </c>
      <c r="E27" s="22">
        <v>16.75</v>
      </c>
    </row>
    <row r="28" spans="1:6">
      <c r="A28" s="12" t="s">
        <v>25</v>
      </c>
      <c r="B28" s="8" t="s">
        <v>26</v>
      </c>
      <c r="C28" s="22">
        <v>43.2</v>
      </c>
      <c r="D28" s="22">
        <v>43.2</v>
      </c>
      <c r="E28" s="22">
        <v>43.2</v>
      </c>
    </row>
    <row r="29" spans="1:6" ht="25.5">
      <c r="A29" s="7" t="s">
        <v>5</v>
      </c>
      <c r="B29" s="8" t="s">
        <v>2</v>
      </c>
      <c r="C29" s="41">
        <v>6190.55</v>
      </c>
      <c r="D29" s="41">
        <f>(157630+639613+334484)/1000</f>
        <v>1131.7270000000001</v>
      </c>
      <c r="E29" s="41">
        <f>(157630+639613+334484)/1000</f>
        <v>1131.7270000000001</v>
      </c>
    </row>
    <row r="30" spans="1:6" ht="36.75">
      <c r="A30" s="14" t="s">
        <v>6</v>
      </c>
      <c r="B30" s="8" t="s">
        <v>2</v>
      </c>
      <c r="C30" s="22">
        <v>90961.7</v>
      </c>
      <c r="D30" s="9">
        <f>425.3+6390.86+37.3+6.4</f>
        <v>6859.86</v>
      </c>
      <c r="E30" s="9">
        <f>425.3+6390.86+37.3+6.4</f>
        <v>6859.86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681.48</v>
      </c>
      <c r="D33" s="9">
        <f>5.8+8.8+190+3+13.7+(31100/1000)</f>
        <v>252.39999999999998</v>
      </c>
      <c r="E33" s="9">
        <f>5.8+8.8+190+3+13.7+(31100/1000)</f>
        <v>252.39999999999998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6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43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164</v>
      </c>
      <c r="D11" s="9">
        <v>164</v>
      </c>
      <c r="E11" s="9">
        <v>164</v>
      </c>
    </row>
    <row r="12" spans="1:6" ht="25.5">
      <c r="A12" s="12" t="s">
        <v>23</v>
      </c>
      <c r="B12" s="8" t="s">
        <v>2</v>
      </c>
      <c r="C12" s="18">
        <f>C13/C11</f>
        <v>690.04567073170733</v>
      </c>
      <c r="D12" s="18">
        <f>D13/D11</f>
        <v>115.35320731707317</v>
      </c>
      <c r="E12" s="18">
        <f>E13/E11</f>
        <v>115.35320731707317</v>
      </c>
    </row>
    <row r="13" spans="1:6" ht="25.5">
      <c r="A13" s="7" t="s">
        <v>11</v>
      </c>
      <c r="B13" s="8" t="s">
        <v>2</v>
      </c>
      <c r="C13" s="9">
        <f>C15+C29+C30+C31+C32+C33</f>
        <v>113167.49</v>
      </c>
      <c r="D13" s="17">
        <f>D15+D29+D30+D31+D32+D33</f>
        <v>18917.925999999999</v>
      </c>
      <c r="E13" s="9">
        <f>E15+E29+E30+E31+E32+E33</f>
        <v>18917.925999999999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53790.799999999996</v>
      </c>
      <c r="D15" s="23">
        <f>D17+D20+D23+D26</f>
        <v>13447.699999999999</v>
      </c>
      <c r="E15" s="22">
        <f>E17+E20+E23+E26</f>
        <v>13447.699999999999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4426.8</v>
      </c>
      <c r="D17" s="68">
        <v>1106.7</v>
      </c>
      <c r="E17" s="68">
        <v>1106.7</v>
      </c>
    </row>
    <row r="18" spans="1:6">
      <c r="A18" s="12" t="s">
        <v>4</v>
      </c>
      <c r="B18" s="13" t="s">
        <v>3</v>
      </c>
      <c r="C18" s="68">
        <v>3</v>
      </c>
      <c r="D18" s="68">
        <v>3</v>
      </c>
      <c r="E18" s="68">
        <v>3</v>
      </c>
    </row>
    <row r="19" spans="1:6">
      <c r="A19" s="12" t="s">
        <v>25</v>
      </c>
      <c r="B19" s="8" t="s">
        <v>26</v>
      </c>
      <c r="C19" s="86">
        <v>123</v>
      </c>
      <c r="D19" s="86">
        <v>123</v>
      </c>
      <c r="E19" s="86">
        <v>123</v>
      </c>
    </row>
    <row r="20" spans="1:6" ht="25.5">
      <c r="A20" s="9" t="s">
        <v>21</v>
      </c>
      <c r="B20" s="8" t="s">
        <v>2</v>
      </c>
      <c r="C20" s="68">
        <v>38813.199999999997</v>
      </c>
      <c r="D20" s="68">
        <v>9703.2999999999993</v>
      </c>
      <c r="E20" s="68">
        <v>9703.2999999999993</v>
      </c>
    </row>
    <row r="21" spans="1:6">
      <c r="A21" s="12" t="s">
        <v>4</v>
      </c>
      <c r="B21" s="13" t="s">
        <v>3</v>
      </c>
      <c r="C21" s="68">
        <v>26.33</v>
      </c>
      <c r="D21" s="68">
        <v>26.33</v>
      </c>
      <c r="E21" s="68">
        <v>26.33</v>
      </c>
    </row>
    <row r="22" spans="1:6">
      <c r="A22" s="12" t="s">
        <v>25</v>
      </c>
      <c r="B22" s="8" t="s">
        <v>26</v>
      </c>
      <c r="C22" s="68">
        <v>122.8</v>
      </c>
      <c r="D22" s="86">
        <v>122.8</v>
      </c>
      <c r="E22" s="86">
        <v>122.8</v>
      </c>
    </row>
    <row r="23" spans="1:6" ht="39">
      <c r="A23" s="16" t="s">
        <v>24</v>
      </c>
      <c r="B23" s="8" t="s">
        <v>2</v>
      </c>
      <c r="C23" s="68">
        <v>2933.2</v>
      </c>
      <c r="D23" s="68">
        <v>733.3</v>
      </c>
      <c r="E23" s="68">
        <v>733.3</v>
      </c>
    </row>
    <row r="24" spans="1:6">
      <c r="A24" s="12" t="s">
        <v>4</v>
      </c>
      <c r="B24" s="13" t="s">
        <v>3</v>
      </c>
      <c r="C24" s="68">
        <v>3.5</v>
      </c>
      <c r="D24" s="68">
        <v>3.5</v>
      </c>
      <c r="E24" s="68">
        <v>3.5</v>
      </c>
    </row>
    <row r="25" spans="1:6">
      <c r="A25" s="12" t="s">
        <v>25</v>
      </c>
      <c r="B25" s="8" t="s">
        <v>26</v>
      </c>
      <c r="C25" s="68">
        <v>69.84</v>
      </c>
      <c r="D25" s="68">
        <v>69.84</v>
      </c>
      <c r="E25" s="68">
        <v>69.84</v>
      </c>
    </row>
    <row r="26" spans="1:6" ht="25.5">
      <c r="A26" s="9" t="s">
        <v>22</v>
      </c>
      <c r="B26" s="8" t="s">
        <v>2</v>
      </c>
      <c r="C26" s="68">
        <v>7617.6</v>
      </c>
      <c r="D26" s="68">
        <v>1904.4</v>
      </c>
      <c r="E26" s="68">
        <v>1904.4</v>
      </c>
    </row>
    <row r="27" spans="1:6">
      <c r="A27" s="12" t="s">
        <v>4</v>
      </c>
      <c r="B27" s="13" t="s">
        <v>3</v>
      </c>
      <c r="C27" s="66">
        <v>12.75</v>
      </c>
      <c r="D27" s="66">
        <v>12.75</v>
      </c>
      <c r="E27" s="66">
        <v>12.75</v>
      </c>
    </row>
    <row r="28" spans="1:6">
      <c r="A28" s="12" t="s">
        <v>25</v>
      </c>
      <c r="B28" s="8" t="s">
        <v>26</v>
      </c>
      <c r="C28" s="66">
        <v>49.79</v>
      </c>
      <c r="D28" s="66">
        <v>49.79</v>
      </c>
      <c r="E28" s="66">
        <v>49.79</v>
      </c>
    </row>
    <row r="29" spans="1:6" ht="25.5">
      <c r="A29" s="7" t="s">
        <v>5</v>
      </c>
      <c r="B29" s="8" t="s">
        <v>2</v>
      </c>
      <c r="C29" s="23">
        <v>7469.7</v>
      </c>
      <c r="D29" s="41">
        <f>(196038+743980+425558)/1000</f>
        <v>1365.576</v>
      </c>
      <c r="E29" s="41">
        <f>(196038+743980+425558)/1000</f>
        <v>1365.576</v>
      </c>
    </row>
    <row r="30" spans="1:6" ht="36.75">
      <c r="A30" s="14" t="s">
        <v>6</v>
      </c>
      <c r="B30" s="8" t="s">
        <v>2</v>
      </c>
      <c r="C30" s="22">
        <v>51262.5</v>
      </c>
      <c r="D30" s="9">
        <f>352.1+3439.75+33.6+37.3+3.2</f>
        <v>3865.95</v>
      </c>
      <c r="E30" s="9">
        <f>352.1+3439.75+33.6+37.3+3.2</f>
        <v>3865.95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f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3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172</v>
      </c>
      <c r="D11" s="9">
        <v>172</v>
      </c>
      <c r="E11" s="9">
        <v>172</v>
      </c>
    </row>
    <row r="12" spans="1:6" ht="25.5">
      <c r="A12" s="12" t="s">
        <v>23</v>
      </c>
      <c r="B12" s="8" t="s">
        <v>2</v>
      </c>
      <c r="C12" s="18">
        <f>C13/C11</f>
        <v>671.18226744186052</v>
      </c>
      <c r="D12" s="18">
        <f>D13/D11</f>
        <v>114.97675581395349</v>
      </c>
      <c r="E12" s="18">
        <f>E13/E11</f>
        <v>114.97675581395349</v>
      </c>
    </row>
    <row r="13" spans="1:6" ht="25.5">
      <c r="A13" s="7" t="s">
        <v>11</v>
      </c>
      <c r="B13" s="8" t="s">
        <v>2</v>
      </c>
      <c r="C13" s="9">
        <f>C15+C29+C30+C31+C32+C33</f>
        <v>115443.35</v>
      </c>
      <c r="D13" s="17">
        <f>D15+D29+D30+D31+D32+D33</f>
        <v>19776.002</v>
      </c>
      <c r="E13" s="9">
        <f>E15+E29+E30+E31+E32+E33</f>
        <v>19776.002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57432.800000000003</v>
      </c>
      <c r="D15" s="23">
        <f>D17+D20+D23+D26</f>
        <v>14358.2</v>
      </c>
      <c r="E15" s="22">
        <f>E17+E20+E23+E26</f>
        <v>14358.2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6632.4</v>
      </c>
      <c r="D17" s="68">
        <v>1658.1</v>
      </c>
      <c r="E17" s="68">
        <v>1658.1</v>
      </c>
    </row>
    <row r="18" spans="1:6">
      <c r="A18" s="12" t="s">
        <v>4</v>
      </c>
      <c r="B18" s="13" t="s">
        <v>3</v>
      </c>
      <c r="C18" s="68">
        <v>3.5</v>
      </c>
      <c r="D18" s="68">
        <v>3.5</v>
      </c>
      <c r="E18" s="68">
        <v>3.5</v>
      </c>
    </row>
    <row r="19" spans="1:6">
      <c r="A19" s="12" t="s">
        <v>25</v>
      </c>
      <c r="B19" s="8" t="s">
        <v>26</v>
      </c>
      <c r="C19" s="86">
        <v>157.9</v>
      </c>
      <c r="D19" s="86">
        <v>157.9</v>
      </c>
      <c r="E19" s="86">
        <v>157.9</v>
      </c>
    </row>
    <row r="20" spans="1:6" ht="25.5">
      <c r="A20" s="9" t="s">
        <v>21</v>
      </c>
      <c r="B20" s="8" t="s">
        <v>2</v>
      </c>
      <c r="C20" s="68">
        <v>39382.400000000001</v>
      </c>
      <c r="D20" s="68">
        <v>9845.6</v>
      </c>
      <c r="E20" s="68">
        <v>9845.6</v>
      </c>
    </row>
    <row r="21" spans="1:6">
      <c r="A21" s="12" t="s">
        <v>4</v>
      </c>
      <c r="B21" s="13" t="s">
        <v>3</v>
      </c>
      <c r="C21" s="68">
        <v>34.200000000000003</v>
      </c>
      <c r="D21" s="68">
        <v>34.200000000000003</v>
      </c>
      <c r="E21" s="68">
        <v>34.200000000000003</v>
      </c>
    </row>
    <row r="22" spans="1:6">
      <c r="A22" s="12" t="s">
        <v>25</v>
      </c>
      <c r="B22" s="8" t="s">
        <v>26</v>
      </c>
      <c r="C22" s="68">
        <v>96</v>
      </c>
      <c r="D22" s="86">
        <v>96</v>
      </c>
      <c r="E22" s="86">
        <v>96</v>
      </c>
    </row>
    <row r="23" spans="1:6" ht="39">
      <c r="A23" s="16" t="s">
        <v>24</v>
      </c>
      <c r="B23" s="8" t="s">
        <v>2</v>
      </c>
      <c r="C23" s="68">
        <v>860</v>
      </c>
      <c r="D23" s="68">
        <v>215</v>
      </c>
      <c r="E23" s="68">
        <v>215</v>
      </c>
    </row>
    <row r="24" spans="1:6">
      <c r="A24" s="12" t="s">
        <v>4</v>
      </c>
      <c r="B24" s="13" t="s">
        <v>3</v>
      </c>
      <c r="C24" s="68">
        <v>1.5</v>
      </c>
      <c r="D24" s="68">
        <v>1.5</v>
      </c>
      <c r="E24" s="68">
        <v>1.5</v>
      </c>
    </row>
    <row r="25" spans="1:6">
      <c r="A25" s="12" t="s">
        <v>25</v>
      </c>
      <c r="B25" s="8" t="s">
        <v>26</v>
      </c>
      <c r="C25" s="68">
        <v>47.8</v>
      </c>
      <c r="D25" s="68">
        <v>47.8</v>
      </c>
      <c r="E25" s="68">
        <v>47.8</v>
      </c>
    </row>
    <row r="26" spans="1:6" ht="25.5">
      <c r="A26" s="9" t="s">
        <v>22</v>
      </c>
      <c r="B26" s="8" t="s">
        <v>2</v>
      </c>
      <c r="C26" s="68">
        <v>10558</v>
      </c>
      <c r="D26" s="68">
        <v>2639.5</v>
      </c>
      <c r="E26" s="68">
        <v>2639.5</v>
      </c>
    </row>
    <row r="27" spans="1:6">
      <c r="A27" s="12" t="s">
        <v>4</v>
      </c>
      <c r="B27" s="13" t="s">
        <v>3</v>
      </c>
      <c r="C27" s="66">
        <v>16</v>
      </c>
      <c r="D27" s="66">
        <v>16</v>
      </c>
      <c r="E27" s="66">
        <v>16</v>
      </c>
    </row>
    <row r="28" spans="1:6">
      <c r="A28" s="12" t="s">
        <v>25</v>
      </c>
      <c r="B28" s="8" t="s">
        <v>26</v>
      </c>
      <c r="C28" s="66">
        <v>55</v>
      </c>
      <c r="D28" s="67">
        <v>55</v>
      </c>
      <c r="E28" s="45">
        <v>55</v>
      </c>
    </row>
    <row r="29" spans="1:6" ht="25.5">
      <c r="A29" s="7" t="s">
        <v>5</v>
      </c>
      <c r="B29" s="8" t="s">
        <v>2</v>
      </c>
      <c r="C29" s="23">
        <v>7940.86</v>
      </c>
      <c r="D29" s="28">
        <f>(214197+781090+456425)/1000</f>
        <v>1451.712</v>
      </c>
      <c r="E29" s="28">
        <f>(214197+781090+456425)/1000</f>
        <v>1451.712</v>
      </c>
    </row>
    <row r="30" spans="1:6" ht="36.75">
      <c r="A30" s="14" t="s">
        <v>6</v>
      </c>
      <c r="B30" s="8" t="s">
        <v>2</v>
      </c>
      <c r="C30" s="22">
        <v>49425.2</v>
      </c>
      <c r="D30" s="9">
        <f>518.5+3148.29+13.7+37.3+9.6</f>
        <v>3727.39</v>
      </c>
      <c r="E30" s="9">
        <f>518.5+3148.29+13.7+37.3+9.6</f>
        <v>3727.39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/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f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116</v>
      </c>
      <c r="D11" s="9">
        <v>116</v>
      </c>
      <c r="E11" s="9">
        <v>116</v>
      </c>
    </row>
    <row r="12" spans="1:6" ht="25.5">
      <c r="A12" s="12" t="s">
        <v>23</v>
      </c>
      <c r="B12" s="8" t="s">
        <v>2</v>
      </c>
      <c r="C12" s="18">
        <f>C13/C11</f>
        <v>1688.1306896551725</v>
      </c>
      <c r="D12" s="18">
        <f>D13/D11</f>
        <v>219.61798275862071</v>
      </c>
      <c r="E12" s="18">
        <f>E13/E11</f>
        <v>219.61798275862071</v>
      </c>
    </row>
    <row r="13" spans="1:6" ht="25.5">
      <c r="A13" s="7" t="s">
        <v>11</v>
      </c>
      <c r="B13" s="8" t="s">
        <v>2</v>
      </c>
      <c r="C13" s="9">
        <f>C15+C29+C30+C31+C32+C33</f>
        <v>195823.16</v>
      </c>
      <c r="D13" s="17">
        <f>D15+D29+D30+D31+D32+D33</f>
        <v>25475.686000000002</v>
      </c>
      <c r="E13" s="9">
        <f>E15+E29+E30+E31+E32+E33</f>
        <v>25475.686000000002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55778</v>
      </c>
      <c r="D15" s="23">
        <f>D17+D20+D23+D26</f>
        <v>13944.5</v>
      </c>
      <c r="E15" s="22">
        <f>E17+E20+E23+E26</f>
        <v>13944.5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4470.3999999999996</v>
      </c>
      <c r="D17" s="68">
        <v>1117.5999999999999</v>
      </c>
      <c r="E17" s="68">
        <v>1117.5999999999999</v>
      </c>
    </row>
    <row r="18" spans="1:6">
      <c r="A18" s="12" t="s">
        <v>4</v>
      </c>
      <c r="B18" s="13" t="s">
        <v>3</v>
      </c>
      <c r="C18" s="68">
        <v>3</v>
      </c>
      <c r="D18" s="68">
        <v>3</v>
      </c>
      <c r="E18" s="68">
        <v>3</v>
      </c>
    </row>
    <row r="19" spans="1:6">
      <c r="A19" s="12" t="s">
        <v>25</v>
      </c>
      <c r="B19" s="8" t="s">
        <v>26</v>
      </c>
      <c r="C19" s="86">
        <v>124.2</v>
      </c>
      <c r="D19" s="86">
        <v>124.2</v>
      </c>
      <c r="E19" s="86">
        <v>124.2</v>
      </c>
    </row>
    <row r="20" spans="1:6" ht="25.5">
      <c r="A20" s="9" t="s">
        <v>21</v>
      </c>
      <c r="B20" s="8" t="s">
        <v>2</v>
      </c>
      <c r="C20" s="68">
        <v>40712.400000000001</v>
      </c>
      <c r="D20" s="68">
        <v>10178.1</v>
      </c>
      <c r="E20" s="68">
        <v>10178.1</v>
      </c>
    </row>
    <row r="21" spans="1:6">
      <c r="A21" s="12" t="s">
        <v>4</v>
      </c>
      <c r="B21" s="13" t="s">
        <v>3</v>
      </c>
      <c r="C21" s="68">
        <v>23.6</v>
      </c>
      <c r="D21" s="68">
        <v>23.6</v>
      </c>
      <c r="E21" s="68">
        <v>23.6</v>
      </c>
    </row>
    <row r="22" spans="1:6">
      <c r="A22" s="12" t="s">
        <v>25</v>
      </c>
      <c r="B22" s="8" t="s">
        <v>26</v>
      </c>
      <c r="C22" s="86">
        <v>143</v>
      </c>
      <c r="D22" s="86">
        <v>143</v>
      </c>
      <c r="E22" s="86">
        <v>143</v>
      </c>
    </row>
    <row r="23" spans="1:6" ht="39">
      <c r="A23" s="16" t="s">
        <v>24</v>
      </c>
      <c r="B23" s="8" t="s">
        <v>2</v>
      </c>
      <c r="C23" s="68">
        <v>2194.4</v>
      </c>
      <c r="D23" s="68">
        <v>548.6</v>
      </c>
      <c r="E23" s="68">
        <v>548.6</v>
      </c>
    </row>
    <row r="24" spans="1:6">
      <c r="A24" s="12" t="s">
        <v>4</v>
      </c>
      <c r="B24" s="13" t="s">
        <v>3</v>
      </c>
      <c r="C24" s="68">
        <v>4</v>
      </c>
      <c r="D24" s="68">
        <v>4</v>
      </c>
      <c r="E24" s="68">
        <v>4</v>
      </c>
    </row>
    <row r="25" spans="1:6">
      <c r="A25" s="12" t="s">
        <v>25</v>
      </c>
      <c r="B25" s="8" t="s">
        <v>26</v>
      </c>
      <c r="C25" s="68">
        <v>45.7</v>
      </c>
      <c r="D25" s="68">
        <v>45.7</v>
      </c>
      <c r="E25" s="68">
        <v>45.7</v>
      </c>
    </row>
    <row r="26" spans="1:6" ht="25.5">
      <c r="A26" s="9" t="s">
        <v>22</v>
      </c>
      <c r="B26" s="8" t="s">
        <v>2</v>
      </c>
      <c r="C26" s="68">
        <v>8400.7999999999993</v>
      </c>
      <c r="D26" s="68">
        <v>2100.1999999999998</v>
      </c>
      <c r="E26" s="68">
        <v>2100.1999999999998</v>
      </c>
    </row>
    <row r="27" spans="1:6">
      <c r="A27" s="12" t="s">
        <v>4</v>
      </c>
      <c r="B27" s="13" t="s">
        <v>3</v>
      </c>
      <c r="C27" s="66">
        <v>17.2</v>
      </c>
      <c r="D27" s="66">
        <v>17.2</v>
      </c>
      <c r="E27" s="66">
        <v>17.2</v>
      </c>
    </row>
    <row r="28" spans="1:6">
      <c r="A28" s="12" t="s">
        <v>25</v>
      </c>
      <c r="B28" s="8" t="s">
        <v>26</v>
      </c>
      <c r="C28" s="66">
        <v>40.700000000000003</v>
      </c>
      <c r="D28" s="66">
        <v>40.700000000000003</v>
      </c>
      <c r="E28" s="66">
        <v>40.700000000000003</v>
      </c>
    </row>
    <row r="29" spans="1:6" ht="25.5">
      <c r="A29" s="7" t="s">
        <v>5</v>
      </c>
      <c r="B29" s="8" t="s">
        <v>2</v>
      </c>
      <c r="C29" s="23">
        <v>7236.57</v>
      </c>
      <c r="D29" s="41">
        <f>(195743+711916+415297)/1000</f>
        <v>1322.9559999999999</v>
      </c>
      <c r="E29" s="41">
        <f>(195743+711916+415297)/1000</f>
        <v>1322.9559999999999</v>
      </c>
    </row>
    <row r="30" spans="1:6" ht="36.75">
      <c r="A30" s="14" t="s">
        <v>6</v>
      </c>
      <c r="B30" s="8" t="s">
        <v>2</v>
      </c>
      <c r="C30" s="22">
        <v>132156</v>
      </c>
      <c r="D30" s="9">
        <f>224.5+4956.63+4728+13.7+37.3+6.4</f>
        <v>9966.5300000000007</v>
      </c>
      <c r="E30" s="9">
        <f>224.5+4956.63+4728+13.7+37.3+6.4</f>
        <v>9966.5300000000007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652.59</v>
      </c>
      <c r="D33" s="9">
        <f>5.8+8.8+190+3+(34100/1000)</f>
        <v>241.7</v>
      </c>
      <c r="E33" s="9">
        <f>5.8+8.8+190+3+(34100/1000)</f>
        <v>241.7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2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101</v>
      </c>
      <c r="D11" s="9">
        <v>101</v>
      </c>
      <c r="E11" s="9">
        <v>101</v>
      </c>
    </row>
    <row r="12" spans="1:6" ht="25.5">
      <c r="A12" s="12" t="s">
        <v>23</v>
      </c>
      <c r="B12" s="8" t="s">
        <v>2</v>
      </c>
      <c r="C12" s="18">
        <f>C13/C11</f>
        <v>837.84267326732663</v>
      </c>
      <c r="D12" s="18">
        <f>D13/D11</f>
        <v>195.89181188118812</v>
      </c>
      <c r="E12" s="18">
        <f>E13/E11</f>
        <v>195.89181188118812</v>
      </c>
    </row>
    <row r="13" spans="1:6" ht="25.5">
      <c r="A13" s="7" t="s">
        <v>11</v>
      </c>
      <c r="B13" s="8" t="s">
        <v>2</v>
      </c>
      <c r="C13" s="9">
        <f>C15+C29+C30+C31+C32+C33</f>
        <v>84622.109999999986</v>
      </c>
      <c r="D13" s="17">
        <f>D15+D29+D30+D31+D32+D33</f>
        <v>19785.073</v>
      </c>
      <c r="E13" s="9">
        <f>E15+E29+E30+E31+E32+E33</f>
        <v>19785.073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70843.199999999997</v>
      </c>
      <c r="D15" s="23">
        <f>D17+D20+D23+D26</f>
        <v>17710.8</v>
      </c>
      <c r="E15" s="22">
        <f>E17+E20+E23+E26</f>
        <v>17710.8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6607.2</v>
      </c>
      <c r="D17" s="68">
        <v>1651.8</v>
      </c>
      <c r="E17" s="68">
        <v>1651.8</v>
      </c>
    </row>
    <row r="18" spans="1:6">
      <c r="A18" s="12" t="s">
        <v>4</v>
      </c>
      <c r="B18" s="13" t="s">
        <v>3</v>
      </c>
      <c r="C18" s="68">
        <v>4.5</v>
      </c>
      <c r="D18" s="68">
        <v>4.5</v>
      </c>
      <c r="E18" s="68">
        <v>4.5</v>
      </c>
    </row>
    <row r="19" spans="1:6">
      <c r="A19" s="12" t="s">
        <v>25</v>
      </c>
      <c r="B19" s="8" t="s">
        <v>26</v>
      </c>
      <c r="C19" s="86">
        <v>122.4</v>
      </c>
      <c r="D19" s="86">
        <v>122.4</v>
      </c>
      <c r="E19" s="86">
        <v>122.5</v>
      </c>
    </row>
    <row r="20" spans="1:6" ht="25.5">
      <c r="A20" s="9" t="s">
        <v>21</v>
      </c>
      <c r="B20" s="8" t="s">
        <v>2</v>
      </c>
      <c r="C20" s="68">
        <v>50926.8</v>
      </c>
      <c r="D20" s="68">
        <v>12731.7</v>
      </c>
      <c r="E20" s="68">
        <v>12731.7</v>
      </c>
    </row>
    <row r="21" spans="1:6">
      <c r="A21" s="12" t="s">
        <v>4</v>
      </c>
      <c r="B21" s="13" t="s">
        <v>3</v>
      </c>
      <c r="C21" s="68">
        <v>39.36</v>
      </c>
      <c r="D21" s="68">
        <v>39.36</v>
      </c>
      <c r="E21" s="68">
        <v>39.36</v>
      </c>
    </row>
    <row r="22" spans="1:6">
      <c r="A22" s="12" t="s">
        <v>25</v>
      </c>
      <c r="B22" s="8" t="s">
        <v>26</v>
      </c>
      <c r="C22" s="68">
        <v>107.8</v>
      </c>
      <c r="D22" s="68">
        <v>107.8</v>
      </c>
      <c r="E22" s="68">
        <v>107.8</v>
      </c>
    </row>
    <row r="23" spans="1:6" ht="39">
      <c r="A23" s="16" t="s">
        <v>24</v>
      </c>
      <c r="B23" s="8" t="s">
        <v>2</v>
      </c>
      <c r="C23" s="68">
        <v>2429.6</v>
      </c>
      <c r="D23" s="68">
        <v>607.4</v>
      </c>
      <c r="E23" s="68">
        <v>607.4</v>
      </c>
    </row>
    <row r="24" spans="1:6">
      <c r="A24" s="12" t="s">
        <v>4</v>
      </c>
      <c r="B24" s="13" t="s">
        <v>3</v>
      </c>
      <c r="C24" s="68">
        <v>3</v>
      </c>
      <c r="D24" s="68">
        <v>3</v>
      </c>
      <c r="E24" s="68">
        <v>3</v>
      </c>
    </row>
    <row r="25" spans="1:6">
      <c r="A25" s="12" t="s">
        <v>25</v>
      </c>
      <c r="B25" s="8" t="s">
        <v>26</v>
      </c>
      <c r="C25" s="68">
        <v>67.5</v>
      </c>
      <c r="D25" s="68">
        <v>67.5</v>
      </c>
      <c r="E25" s="68">
        <v>67.5</v>
      </c>
    </row>
    <row r="26" spans="1:6" ht="25.5">
      <c r="A26" s="9" t="s">
        <v>22</v>
      </c>
      <c r="B26" s="8" t="s">
        <v>2</v>
      </c>
      <c r="C26" s="68">
        <v>10879.6</v>
      </c>
      <c r="D26" s="68">
        <v>2719.9</v>
      </c>
      <c r="E26" s="68">
        <v>2719.9</v>
      </c>
    </row>
    <row r="27" spans="1:6">
      <c r="A27" s="12" t="s">
        <v>4</v>
      </c>
      <c r="B27" s="13" t="s">
        <v>3</v>
      </c>
      <c r="C27" s="66">
        <v>21.7</v>
      </c>
      <c r="D27" s="66">
        <v>21.7</v>
      </c>
      <c r="E27" s="66">
        <v>21.7</v>
      </c>
    </row>
    <row r="28" spans="1:6">
      <c r="A28" s="12" t="s">
        <v>25</v>
      </c>
      <c r="B28" s="8" t="s">
        <v>26</v>
      </c>
      <c r="C28" s="44">
        <v>41.8</v>
      </c>
      <c r="D28" s="44">
        <v>41.8</v>
      </c>
      <c r="E28" s="44">
        <v>41.8</v>
      </c>
    </row>
    <row r="29" spans="1:6" ht="25.5">
      <c r="A29" s="7" t="s">
        <v>5</v>
      </c>
      <c r="B29" s="8" t="s">
        <v>2</v>
      </c>
      <c r="C29" s="23">
        <v>9276.8700000000008</v>
      </c>
      <c r="D29" s="41">
        <f>(245428+923215+527311)/1000</f>
        <v>1695.954</v>
      </c>
      <c r="E29" s="41">
        <f>(245428+923215+527311)/1000</f>
        <v>1695.954</v>
      </c>
    </row>
    <row r="30" spans="1:6" ht="36.75">
      <c r="A30" s="14" t="s">
        <v>6</v>
      </c>
      <c r="B30" s="8" t="s">
        <v>2</v>
      </c>
      <c r="C30" s="22">
        <v>4370.5</v>
      </c>
      <c r="D30" s="9">
        <f>275.4+13.7+37.3+3.2</f>
        <v>329.59999999999997</v>
      </c>
      <c r="E30" s="9">
        <f>275.4+13.7+37.3+3.2</f>
        <v>329.59999999999997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131.54</v>
      </c>
      <c r="D33" s="42">
        <f>5.8+8.819+3+(31100/1000)</f>
        <v>48.719000000000001</v>
      </c>
      <c r="E33" s="42">
        <f>5.8+8.819+3+(31100/1000)</f>
        <v>48.719000000000001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4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5" t="s">
        <v>15</v>
      </c>
      <c r="B1" s="95"/>
      <c r="C1" s="95"/>
      <c r="D1" s="95"/>
      <c r="E1" s="95"/>
    </row>
    <row r="2" spans="1:5">
      <c r="A2" s="95" t="s">
        <v>42</v>
      </c>
      <c r="B2" s="95"/>
      <c r="C2" s="95"/>
      <c r="D2" s="95"/>
      <c r="E2" s="95"/>
    </row>
    <row r="3" spans="1:5">
      <c r="A3" s="96" t="s">
        <v>28</v>
      </c>
      <c r="B3" s="96"/>
      <c r="C3" s="96"/>
      <c r="D3" s="96"/>
      <c r="E3" s="96"/>
    </row>
    <row r="4" spans="1:5">
      <c r="A4" s="96"/>
      <c r="B4" s="96"/>
      <c r="C4" s="96"/>
      <c r="D4" s="96"/>
      <c r="E4" s="96"/>
    </row>
    <row r="5" spans="1:5">
      <c r="A5" s="97" t="s">
        <v>16</v>
      </c>
      <c r="B5" s="97"/>
      <c r="C5" s="97"/>
      <c r="D5" s="97"/>
      <c r="E5" s="97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8" t="s">
        <v>27</v>
      </c>
      <c r="B9" s="99" t="s">
        <v>18</v>
      </c>
      <c r="C9" s="98" t="s">
        <v>30</v>
      </c>
      <c r="D9" s="98"/>
      <c r="E9" s="98"/>
    </row>
    <row r="10" spans="1:5" ht="81">
      <c r="A10" s="98"/>
      <c r="B10" s="99"/>
      <c r="C10" s="21" t="s">
        <v>19</v>
      </c>
      <c r="D10" s="78" t="s">
        <v>44</v>
      </c>
      <c r="E10" s="20" t="s">
        <v>14</v>
      </c>
    </row>
    <row r="11" spans="1:5">
      <c r="A11" s="7" t="s">
        <v>20</v>
      </c>
      <c r="B11" s="8" t="s">
        <v>10</v>
      </c>
      <c r="C11" s="44">
        <v>569</v>
      </c>
      <c r="D11" s="44">
        <v>569</v>
      </c>
      <c r="E11" s="44">
        <v>569</v>
      </c>
    </row>
    <row r="12" spans="1:5" ht="25.5">
      <c r="A12" s="12" t="s">
        <v>23</v>
      </c>
      <c r="B12" s="8" t="s">
        <v>2</v>
      </c>
      <c r="C12" s="18">
        <f>C13/C11</f>
        <v>363.24022847100179</v>
      </c>
      <c r="D12" s="18">
        <f>D13/D11</f>
        <v>64.091353251318097</v>
      </c>
      <c r="E12" s="18">
        <f>E13/E11</f>
        <v>64.091346221441114</v>
      </c>
    </row>
    <row r="13" spans="1:5" ht="25.5">
      <c r="A13" s="7" t="s">
        <v>11</v>
      </c>
      <c r="B13" s="8" t="s">
        <v>2</v>
      </c>
      <c r="C13" s="9">
        <f>C15+C29+C30+C31+C32+C33</f>
        <v>206683.69</v>
      </c>
      <c r="D13" s="17">
        <f>D15+D29+D30+D31+D32+D33</f>
        <v>36467.979999999996</v>
      </c>
      <c r="E13" s="9">
        <f>E15+E29+E30+E31+E32+E33</f>
        <v>36467.975999999995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108867.59999999999</v>
      </c>
      <c r="D15" s="23">
        <f>D17+D20+D23+D26</f>
        <v>27216.899999999998</v>
      </c>
      <c r="E15" s="22">
        <f>E17+E20+E23+E26</f>
        <v>27216.899999999998</v>
      </c>
    </row>
    <row r="16" spans="1:5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73">
        <v>7902.4</v>
      </c>
      <c r="D17" s="68">
        <v>1975.6</v>
      </c>
      <c r="E17" s="68">
        <v>1975.6</v>
      </c>
    </row>
    <row r="18" spans="1:6">
      <c r="A18" s="12" t="s">
        <v>4</v>
      </c>
      <c r="B18" s="13" t="s">
        <v>3</v>
      </c>
      <c r="C18" s="73">
        <v>6</v>
      </c>
      <c r="D18" s="73">
        <v>6</v>
      </c>
      <c r="E18" s="73">
        <v>6</v>
      </c>
    </row>
    <row r="19" spans="1:6" ht="21.95" customHeight="1">
      <c r="A19" s="12" t="s">
        <v>25</v>
      </c>
      <c r="B19" s="8" t="s">
        <v>26</v>
      </c>
      <c r="C19" s="85">
        <v>109.8</v>
      </c>
      <c r="D19" s="85">
        <v>109.8</v>
      </c>
      <c r="E19" s="86">
        <v>109.8</v>
      </c>
    </row>
    <row r="20" spans="1:6" ht="25.5">
      <c r="A20" s="9" t="s">
        <v>21</v>
      </c>
      <c r="B20" s="8" t="s">
        <v>2</v>
      </c>
      <c r="C20" s="68">
        <v>71965.2</v>
      </c>
      <c r="D20" s="68">
        <v>17991.3</v>
      </c>
      <c r="E20" s="68">
        <v>17991.3</v>
      </c>
    </row>
    <row r="21" spans="1:6">
      <c r="A21" s="12" t="s">
        <v>4</v>
      </c>
      <c r="B21" s="13" t="s">
        <v>3</v>
      </c>
      <c r="C21" s="73">
        <v>29.29</v>
      </c>
      <c r="D21" s="73">
        <v>29.29</v>
      </c>
      <c r="E21" s="73">
        <v>29.29</v>
      </c>
    </row>
    <row r="22" spans="1:6" ht="21.95" customHeight="1">
      <c r="A22" s="12" t="s">
        <v>25</v>
      </c>
      <c r="B22" s="8" t="s">
        <v>26</v>
      </c>
      <c r="C22" s="73">
        <v>204.7</v>
      </c>
      <c r="D22" s="85">
        <v>204.7</v>
      </c>
      <c r="E22" s="86">
        <v>204.7</v>
      </c>
    </row>
    <row r="23" spans="1:6" ht="39">
      <c r="A23" s="16" t="s">
        <v>24</v>
      </c>
      <c r="B23" s="8" t="s">
        <v>2</v>
      </c>
      <c r="C23" s="68">
        <v>5025.2</v>
      </c>
      <c r="D23" s="68">
        <v>1256.3</v>
      </c>
      <c r="E23" s="68">
        <v>1256.3</v>
      </c>
    </row>
    <row r="24" spans="1:6">
      <c r="A24" s="12" t="s">
        <v>4</v>
      </c>
      <c r="B24" s="13" t="s">
        <v>3</v>
      </c>
      <c r="C24" s="73">
        <v>5</v>
      </c>
      <c r="D24" s="73">
        <v>5</v>
      </c>
      <c r="E24" s="73">
        <v>5</v>
      </c>
    </row>
    <row r="25" spans="1:6" ht="21.95" customHeight="1">
      <c r="A25" s="12" t="s">
        <v>25</v>
      </c>
      <c r="B25" s="8" t="s">
        <v>26</v>
      </c>
      <c r="C25" s="73">
        <v>83.7</v>
      </c>
      <c r="D25" s="85">
        <v>83.7</v>
      </c>
      <c r="E25" s="86">
        <v>83.7</v>
      </c>
    </row>
    <row r="26" spans="1:6" ht="25.5">
      <c r="A26" s="9" t="s">
        <v>22</v>
      </c>
      <c r="B26" s="8" t="s">
        <v>2</v>
      </c>
      <c r="C26" s="68">
        <v>23974.799999999999</v>
      </c>
      <c r="D26" s="68">
        <v>5993.7</v>
      </c>
      <c r="E26" s="68">
        <v>5993.7</v>
      </c>
    </row>
    <row r="27" spans="1:6">
      <c r="A27" s="12" t="s">
        <v>4</v>
      </c>
      <c r="B27" s="13" t="s">
        <v>3</v>
      </c>
      <c r="C27" s="22">
        <v>30.266999999999999</v>
      </c>
      <c r="D27" s="22">
        <v>30.266999999999999</v>
      </c>
      <c r="E27" s="22">
        <v>30.266999999999999</v>
      </c>
    </row>
    <row r="28" spans="1:6" ht="21.95" customHeight="1">
      <c r="A28" s="12" t="s">
        <v>25</v>
      </c>
      <c r="B28" s="8" t="s">
        <v>26</v>
      </c>
      <c r="C28" s="22">
        <v>66</v>
      </c>
      <c r="D28" s="28">
        <v>66</v>
      </c>
      <c r="E28" s="17">
        <v>66</v>
      </c>
    </row>
    <row r="29" spans="1:6" ht="25.5">
      <c r="A29" s="7" t="s">
        <v>5</v>
      </c>
      <c r="B29" s="8" t="s">
        <v>2</v>
      </c>
      <c r="C29" s="23">
        <v>14834.2</v>
      </c>
      <c r="D29" s="23">
        <v>2711.92</v>
      </c>
      <c r="E29" s="41">
        <f>(384310+1515435+812171)/1000</f>
        <v>2711.9160000000002</v>
      </c>
    </row>
    <row r="30" spans="1:6" ht="36.75">
      <c r="A30" s="14" t="s">
        <v>6</v>
      </c>
      <c r="B30" s="8" t="s">
        <v>2</v>
      </c>
      <c r="C30" s="22">
        <v>81992.7</v>
      </c>
      <c r="D30" s="22">
        <v>6183.46</v>
      </c>
      <c r="E30" s="9">
        <f>648.7+214.1+122.5+5137.56+13.7+37.3+9.6</f>
        <v>6183.4600000000009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>
        <v>115.2</v>
      </c>
      <c r="D32" s="22">
        <v>32</v>
      </c>
      <c r="E32" s="22">
        <f>32000/1000</f>
        <v>32</v>
      </c>
    </row>
    <row r="33" spans="1:5" ht="52.5">
      <c r="A33" s="14" t="s">
        <v>9</v>
      </c>
      <c r="B33" s="8" t="s">
        <v>2</v>
      </c>
      <c r="C33" s="9">
        <v>873.99</v>
      </c>
      <c r="D33" s="9">
        <v>323.7</v>
      </c>
      <c r="E33" s="9">
        <f>71.3+5.8+6.5+8.8+11.8+190+3+(26500/1000)</f>
        <v>323.7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3" workbookViewId="0">
      <selection activeCell="D17" sqref="D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99</v>
      </c>
      <c r="D11" s="9">
        <v>99</v>
      </c>
      <c r="E11" s="9">
        <v>99</v>
      </c>
    </row>
    <row r="12" spans="1:6" ht="25.5">
      <c r="A12" s="12" t="s">
        <v>23</v>
      </c>
      <c r="B12" s="8" t="s">
        <v>2</v>
      </c>
      <c r="C12" s="18">
        <f>C13/C11</f>
        <v>889.04181818181814</v>
      </c>
      <c r="D12" s="18">
        <f>D13/D11</f>
        <v>134.58878787878788</v>
      </c>
      <c r="E12" s="18">
        <f>E13/E11</f>
        <v>134.58878787878788</v>
      </c>
    </row>
    <row r="13" spans="1:6" ht="25.5">
      <c r="A13" s="7" t="s">
        <v>11</v>
      </c>
      <c r="B13" s="8" t="s">
        <v>2</v>
      </c>
      <c r="C13" s="9">
        <f>C15+C29+C30+C31+C32+C33</f>
        <v>88015.14</v>
      </c>
      <c r="D13" s="17">
        <f>D15+D29+D30+D31+D32+D33</f>
        <v>13324.289999999999</v>
      </c>
      <c r="E13" s="9">
        <f>E15+E29+E30+E31+E32+E33</f>
        <v>13324.289999999999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34165.199999999997</v>
      </c>
      <c r="D15" s="23">
        <f>D17+D20+D23+D26</f>
        <v>8541.2999999999993</v>
      </c>
      <c r="E15" s="22">
        <f>E17+E20+E23+E26</f>
        <v>8541.2999999999993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>
        <v>2915.6</v>
      </c>
      <c r="D17" s="68">
        <v>728.9</v>
      </c>
      <c r="E17" s="68">
        <v>728.9</v>
      </c>
    </row>
    <row r="18" spans="1:6">
      <c r="A18" s="12" t="s">
        <v>4</v>
      </c>
      <c r="B18" s="13" t="s">
        <v>3</v>
      </c>
      <c r="C18" s="22">
        <v>2</v>
      </c>
      <c r="D18" s="73">
        <v>2</v>
      </c>
      <c r="E18" s="73">
        <v>2</v>
      </c>
    </row>
    <row r="19" spans="1:6">
      <c r="A19" s="12" t="s">
        <v>25</v>
      </c>
      <c r="B19" s="8" t="s">
        <v>26</v>
      </c>
      <c r="C19" s="28">
        <v>121.5</v>
      </c>
      <c r="D19" s="85">
        <v>121.5</v>
      </c>
      <c r="E19" s="85">
        <v>121.5</v>
      </c>
    </row>
    <row r="20" spans="1:6" ht="25.5">
      <c r="A20" s="9" t="s">
        <v>21</v>
      </c>
      <c r="B20" s="8" t="s">
        <v>2</v>
      </c>
      <c r="C20" s="22">
        <v>24036.799999999999</v>
      </c>
      <c r="D20" s="68">
        <v>6009.2</v>
      </c>
      <c r="E20" s="68">
        <v>6009.2</v>
      </c>
    </row>
    <row r="21" spans="1:6">
      <c r="A21" s="12" t="s">
        <v>4</v>
      </c>
      <c r="B21" s="13" t="s">
        <v>3</v>
      </c>
      <c r="C21" s="22">
        <v>20.02</v>
      </c>
      <c r="D21" s="73">
        <v>20.02</v>
      </c>
      <c r="E21" s="73">
        <v>20.02</v>
      </c>
    </row>
    <row r="22" spans="1:6">
      <c r="A22" s="12" t="s">
        <v>25</v>
      </c>
      <c r="B22" s="8" t="s">
        <v>26</v>
      </c>
      <c r="C22" s="28">
        <v>100.1</v>
      </c>
      <c r="D22" s="85">
        <v>100.1</v>
      </c>
      <c r="E22" s="85">
        <v>100.1</v>
      </c>
    </row>
    <row r="23" spans="1:6" ht="39">
      <c r="A23" s="16" t="s">
        <v>24</v>
      </c>
      <c r="B23" s="8" t="s">
        <v>2</v>
      </c>
      <c r="C23" s="22">
        <v>607.20000000000005</v>
      </c>
      <c r="D23" s="68">
        <v>151.80000000000001</v>
      </c>
      <c r="E23" s="68">
        <v>151.80000000000001</v>
      </c>
    </row>
    <row r="24" spans="1:6">
      <c r="A24" s="12" t="s">
        <v>4</v>
      </c>
      <c r="B24" s="13" t="s">
        <v>3</v>
      </c>
      <c r="C24" s="22">
        <v>0.7</v>
      </c>
      <c r="D24" s="73">
        <v>0.7</v>
      </c>
      <c r="E24" s="73">
        <v>0.7</v>
      </c>
    </row>
    <row r="25" spans="1:6">
      <c r="A25" s="12" t="s">
        <v>25</v>
      </c>
      <c r="B25" s="8" t="s">
        <v>26</v>
      </c>
      <c r="C25" s="28">
        <v>72.3</v>
      </c>
      <c r="D25" s="85">
        <v>72.3</v>
      </c>
      <c r="E25" s="85">
        <v>72.3</v>
      </c>
    </row>
    <row r="26" spans="1:6" ht="25.5">
      <c r="A26" s="9" t="s">
        <v>22</v>
      </c>
      <c r="B26" s="8" t="s">
        <v>2</v>
      </c>
      <c r="C26" s="22">
        <v>6605.6</v>
      </c>
      <c r="D26" s="68">
        <v>1651.4</v>
      </c>
      <c r="E26" s="68">
        <v>1651.4</v>
      </c>
    </row>
    <row r="27" spans="1:6">
      <c r="A27" s="12" t="s">
        <v>4</v>
      </c>
      <c r="B27" s="13" t="s">
        <v>3</v>
      </c>
      <c r="C27" s="22">
        <v>11.78</v>
      </c>
      <c r="D27" s="22">
        <v>11.78</v>
      </c>
      <c r="E27" s="22">
        <v>11.78</v>
      </c>
    </row>
    <row r="28" spans="1:6">
      <c r="A28" s="12" t="s">
        <v>25</v>
      </c>
      <c r="B28" s="8" t="s">
        <v>26</v>
      </c>
      <c r="C28" s="22"/>
      <c r="D28" s="28"/>
      <c r="E28" s="17"/>
    </row>
    <row r="29" spans="1:6" ht="25.5">
      <c r="A29" s="7" t="s">
        <v>5</v>
      </c>
      <c r="B29" s="8" t="s">
        <v>2</v>
      </c>
      <c r="C29" s="23">
        <v>4275.41</v>
      </c>
      <c r="D29" s="23">
        <f>(115831+420497+245282)/1000</f>
        <v>781.61</v>
      </c>
      <c r="E29" s="23">
        <f>(115831+420497+245282)/1000</f>
        <v>781.61</v>
      </c>
    </row>
    <row r="30" spans="1:6" ht="36.75">
      <c r="A30" s="14" t="s">
        <v>6</v>
      </c>
      <c r="B30" s="8" t="s">
        <v>2</v>
      </c>
      <c r="C30" s="22">
        <v>48683.8</v>
      </c>
      <c r="D30" s="9">
        <f>522.8+3094.48+13.7+37.3+3.2</f>
        <v>3671.4799999999996</v>
      </c>
      <c r="E30" s="9">
        <f>522.8+3094.48+13.7+37.3+3.2</f>
        <v>3671.4799999999996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890.73</v>
      </c>
      <c r="D33" s="9">
        <f>71.3+5.8+8.8+190+3+(51000/1000)</f>
        <v>329.9</v>
      </c>
      <c r="E33" s="9">
        <f>71.3+5.8+8.8+190+3+(51000/1000)</f>
        <v>329.9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4" workbookViewId="0">
      <selection activeCell="D17" sqref="D17:E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69</v>
      </c>
      <c r="D11" s="9">
        <v>69</v>
      </c>
      <c r="E11" s="9">
        <v>69</v>
      </c>
    </row>
    <row r="12" spans="1:6" ht="25.5">
      <c r="A12" s="12" t="s">
        <v>23</v>
      </c>
      <c r="B12" s="8" t="s">
        <v>2</v>
      </c>
      <c r="C12" s="18">
        <f>C13/C11</f>
        <v>704.16536231884061</v>
      </c>
      <c r="D12" s="18">
        <f>D13/D11</f>
        <v>130.30273913043479</v>
      </c>
      <c r="E12" s="18">
        <f>E13/E11</f>
        <v>130.30273913043479</v>
      </c>
    </row>
    <row r="13" spans="1:6" ht="25.5">
      <c r="A13" s="7" t="s">
        <v>11</v>
      </c>
      <c r="B13" s="8" t="s">
        <v>2</v>
      </c>
      <c r="C13" s="9">
        <f>C15+C29+C30+C31+C32+C33</f>
        <v>48587.41</v>
      </c>
      <c r="D13" s="17">
        <f>D15+D29+D30+D31+D32+D33</f>
        <v>8990.889000000001</v>
      </c>
      <c r="E13" s="9">
        <f>E15+E29+E30+E31+E32+E33</f>
        <v>8990.889000000001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27292</v>
      </c>
      <c r="D15" s="23">
        <f>D17+D20+D23+D26</f>
        <v>6823</v>
      </c>
      <c r="E15" s="22">
        <f>E17+E20+E23+E26</f>
        <v>6823</v>
      </c>
      <c r="F15" s="19"/>
    </row>
    <row r="16" spans="1:6">
      <c r="A16" s="10" t="s">
        <v>1</v>
      </c>
      <c r="B16" s="11"/>
      <c r="C16" s="22"/>
      <c r="D16" s="71"/>
      <c r="E16" s="72"/>
    </row>
    <row r="17" spans="1:6" ht="25.5">
      <c r="A17" s="9" t="s">
        <v>13</v>
      </c>
      <c r="B17" s="8" t="s">
        <v>2</v>
      </c>
      <c r="C17" s="70">
        <v>4127.2</v>
      </c>
      <c r="D17" s="69">
        <v>1031.8</v>
      </c>
      <c r="E17" s="69">
        <v>1031.8</v>
      </c>
      <c r="F17" s="69"/>
    </row>
    <row r="18" spans="1:6">
      <c r="A18" s="12" t="s">
        <v>4</v>
      </c>
      <c r="B18" s="13" t="s">
        <v>3</v>
      </c>
      <c r="C18" s="44">
        <v>1.75</v>
      </c>
      <c r="D18" s="92">
        <v>1.75</v>
      </c>
      <c r="E18" s="92">
        <v>1.75</v>
      </c>
    </row>
    <row r="19" spans="1:6">
      <c r="A19" s="12" t="s">
        <v>25</v>
      </c>
      <c r="B19" s="8" t="s">
        <v>26</v>
      </c>
      <c r="C19" s="28">
        <v>196.5</v>
      </c>
      <c r="D19" s="86">
        <v>196.5</v>
      </c>
      <c r="E19" s="86">
        <v>196.5</v>
      </c>
    </row>
    <row r="20" spans="1:6" ht="25.5">
      <c r="A20" s="9" t="s">
        <v>21</v>
      </c>
      <c r="B20" s="8" t="s">
        <v>2</v>
      </c>
      <c r="C20" s="22">
        <v>19048.8</v>
      </c>
      <c r="D20" s="68">
        <v>4762.2</v>
      </c>
      <c r="E20" s="68">
        <v>4762.2</v>
      </c>
    </row>
    <row r="21" spans="1:6">
      <c r="A21" s="12" t="s">
        <v>4</v>
      </c>
      <c r="B21" s="13" t="s">
        <v>3</v>
      </c>
      <c r="C21" s="45">
        <v>15.528</v>
      </c>
      <c r="D21" s="86">
        <v>15.528</v>
      </c>
      <c r="E21" s="86">
        <v>15.528</v>
      </c>
    </row>
    <row r="22" spans="1:6">
      <c r="A22" s="12" t="s">
        <v>25</v>
      </c>
      <c r="B22" s="8" t="s">
        <v>26</v>
      </c>
      <c r="C22" s="22">
        <v>102.2</v>
      </c>
      <c r="D22" s="86">
        <v>102.2</v>
      </c>
      <c r="E22" s="86">
        <v>102.2</v>
      </c>
    </row>
    <row r="23" spans="1:6" ht="39">
      <c r="A23" s="16" t="s">
        <v>24</v>
      </c>
      <c r="B23" s="8" t="s">
        <v>2</v>
      </c>
      <c r="C23" s="22">
        <v>308</v>
      </c>
      <c r="D23" s="68">
        <v>77</v>
      </c>
      <c r="E23" s="68">
        <v>77</v>
      </c>
    </row>
    <row r="24" spans="1:6">
      <c r="A24" s="12" t="s">
        <v>4</v>
      </c>
      <c r="B24" s="13" t="s">
        <v>3</v>
      </c>
      <c r="C24" s="44">
        <v>0.5</v>
      </c>
      <c r="D24" s="68">
        <v>0.5</v>
      </c>
      <c r="E24" s="68">
        <v>0.5</v>
      </c>
    </row>
    <row r="25" spans="1:6">
      <c r="A25" s="12" t="s">
        <v>25</v>
      </c>
      <c r="B25" s="8" t="s">
        <v>26</v>
      </c>
      <c r="C25" s="22">
        <v>51.3</v>
      </c>
      <c r="D25" s="86">
        <v>51.3</v>
      </c>
      <c r="E25" s="86">
        <v>51.3</v>
      </c>
    </row>
    <row r="26" spans="1:6" ht="25.5">
      <c r="A26" s="9" t="s">
        <v>22</v>
      </c>
      <c r="B26" s="8" t="s">
        <v>2</v>
      </c>
      <c r="C26" s="22">
        <v>3808</v>
      </c>
      <c r="D26" s="68">
        <v>952</v>
      </c>
      <c r="E26" s="68">
        <v>952</v>
      </c>
    </row>
    <row r="27" spans="1:6">
      <c r="A27" s="12" t="s">
        <v>4</v>
      </c>
      <c r="B27" s="13" t="s">
        <v>3</v>
      </c>
      <c r="C27" s="9">
        <v>5.45</v>
      </c>
      <c r="D27" s="73">
        <v>5.45</v>
      </c>
      <c r="E27" s="73">
        <v>5.45</v>
      </c>
    </row>
    <row r="28" spans="1:6">
      <c r="A28" s="12" t="s">
        <v>25</v>
      </c>
      <c r="B28" s="8" t="s">
        <v>26</v>
      </c>
      <c r="C28" s="22">
        <v>58.2</v>
      </c>
      <c r="D28" s="85">
        <v>58.2</v>
      </c>
      <c r="E28" s="85">
        <v>58.2</v>
      </c>
    </row>
    <row r="29" spans="1:6" ht="25.5">
      <c r="A29" s="7" t="s">
        <v>5</v>
      </c>
      <c r="B29" s="8" t="s">
        <v>2</v>
      </c>
      <c r="C29" s="23">
        <v>3647.99</v>
      </c>
      <c r="D29" s="93">
        <f>(88970+383443+194496)/1000</f>
        <v>666.90899999999999</v>
      </c>
      <c r="E29" s="93">
        <f>(88970+383443+194496)/1000</f>
        <v>666.90899999999999</v>
      </c>
    </row>
    <row r="30" spans="1:6" ht="36.75">
      <c r="A30" s="14" t="s">
        <v>6</v>
      </c>
      <c r="B30" s="8" t="s">
        <v>2</v>
      </c>
      <c r="C30" s="22">
        <v>17070.7</v>
      </c>
      <c r="D30" s="73">
        <f>123.9+1109.28+13.7+37.3+3.2</f>
        <v>1287.3800000000001</v>
      </c>
      <c r="E30" s="73">
        <f>123.9+1109.28+13.7+37.3+3.2</f>
        <v>1287.3800000000001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576.72</v>
      </c>
      <c r="D33" s="9">
        <f>5.8+8.8+190+3+(6000/1000)</f>
        <v>213.6</v>
      </c>
      <c r="E33" s="9">
        <f>5.8+8.8+190+3+(6000/1000)</f>
        <v>213.6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1" workbookViewId="0">
      <selection activeCell="D17" sqref="D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48</v>
      </c>
      <c r="D11" s="9">
        <v>48</v>
      </c>
      <c r="E11" s="9">
        <v>48</v>
      </c>
    </row>
    <row r="12" spans="1:6" ht="25.5">
      <c r="A12" s="12" t="s">
        <v>23</v>
      </c>
      <c r="B12" s="8" t="s">
        <v>2</v>
      </c>
      <c r="C12" s="18">
        <f>C13/C11</f>
        <v>1367.5124999999998</v>
      </c>
      <c r="D12" s="18">
        <f>D13/D11</f>
        <v>222.8129375</v>
      </c>
      <c r="E12" s="18">
        <f>E13/E11</f>
        <v>222.8129375</v>
      </c>
    </row>
    <row r="13" spans="1:6" ht="25.5">
      <c r="A13" s="7" t="s">
        <v>11</v>
      </c>
      <c r="B13" s="8" t="s">
        <v>2</v>
      </c>
      <c r="C13" s="9">
        <f>C15+C29+C30+C31+C32+C33</f>
        <v>65640.599999999991</v>
      </c>
      <c r="D13" s="17">
        <f>D15+D29+D30+D31+D32+D33</f>
        <v>10695.021000000001</v>
      </c>
      <c r="E13" s="9">
        <f>E15+E29+E30+E31+E32+E33</f>
        <v>10695.021000000001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29607.199999999997</v>
      </c>
      <c r="D15" s="23">
        <f>D17+D20+D23+D26</f>
        <v>7401.7999999999993</v>
      </c>
      <c r="E15" s="22">
        <f>E17+E20+E23+E26</f>
        <v>7401.7999999999993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>
        <v>2915.6</v>
      </c>
      <c r="D17" s="68">
        <v>728.9</v>
      </c>
      <c r="E17" s="68">
        <v>728.9</v>
      </c>
    </row>
    <row r="18" spans="1:6">
      <c r="A18" s="12" t="s">
        <v>4</v>
      </c>
      <c r="B18" s="13" t="s">
        <v>3</v>
      </c>
      <c r="C18" s="44">
        <v>2</v>
      </c>
      <c r="D18" s="68">
        <v>2</v>
      </c>
      <c r="E18" s="68">
        <v>2</v>
      </c>
    </row>
    <row r="19" spans="1:6">
      <c r="A19" s="12" t="s">
        <v>25</v>
      </c>
      <c r="B19" s="8" t="s">
        <v>26</v>
      </c>
      <c r="C19" s="28">
        <v>121.5</v>
      </c>
      <c r="D19" s="86">
        <v>121.5</v>
      </c>
      <c r="E19" s="86">
        <v>121.5</v>
      </c>
    </row>
    <row r="20" spans="1:6" ht="25.5">
      <c r="A20" s="9" t="s">
        <v>21</v>
      </c>
      <c r="B20" s="8" t="s">
        <v>2</v>
      </c>
      <c r="C20" s="22">
        <v>22888</v>
      </c>
      <c r="D20" s="68">
        <v>5722</v>
      </c>
      <c r="E20" s="68">
        <v>5722</v>
      </c>
    </row>
    <row r="21" spans="1:6">
      <c r="A21" s="12" t="s">
        <v>4</v>
      </c>
      <c r="B21" s="13" t="s">
        <v>3</v>
      </c>
      <c r="C21" s="22">
        <v>17.5</v>
      </c>
      <c r="D21" s="73">
        <v>17.5</v>
      </c>
      <c r="E21" s="73">
        <v>17.5</v>
      </c>
    </row>
    <row r="22" spans="1:6">
      <c r="A22" s="12" t="s">
        <v>25</v>
      </c>
      <c r="B22" s="8" t="s">
        <v>26</v>
      </c>
      <c r="C22" s="22">
        <v>109</v>
      </c>
      <c r="D22" s="86">
        <v>109</v>
      </c>
      <c r="E22" s="86">
        <v>109</v>
      </c>
    </row>
    <row r="23" spans="1:6" ht="39">
      <c r="A23" s="16" t="s">
        <v>24</v>
      </c>
      <c r="B23" s="8" t="s">
        <v>2</v>
      </c>
      <c r="C23" s="22">
        <v>455.6</v>
      </c>
      <c r="D23" s="68">
        <v>113.9</v>
      </c>
      <c r="E23" s="68">
        <v>113.9</v>
      </c>
    </row>
    <row r="24" spans="1:6">
      <c r="A24" s="12" t="s">
        <v>4</v>
      </c>
      <c r="B24" s="13" t="s">
        <v>3</v>
      </c>
      <c r="C24" s="44">
        <v>0.5</v>
      </c>
      <c r="D24" s="68">
        <v>0.5</v>
      </c>
      <c r="E24" s="68">
        <v>0.5</v>
      </c>
    </row>
    <row r="25" spans="1:6">
      <c r="A25" s="12" t="s">
        <v>25</v>
      </c>
      <c r="B25" s="8" t="s">
        <v>26</v>
      </c>
      <c r="C25" s="22">
        <v>75.900000000000006</v>
      </c>
      <c r="D25" s="86">
        <v>75.900000000000006</v>
      </c>
      <c r="E25" s="86">
        <v>75.900000000000006</v>
      </c>
    </row>
    <row r="26" spans="1:6" ht="25.5">
      <c r="A26" s="9" t="s">
        <v>22</v>
      </c>
      <c r="B26" s="8" t="s">
        <v>2</v>
      </c>
      <c r="C26" s="22">
        <v>3348</v>
      </c>
      <c r="D26" s="68">
        <v>837</v>
      </c>
      <c r="E26" s="68">
        <v>837</v>
      </c>
    </row>
    <row r="27" spans="1:6">
      <c r="A27" s="12" t="s">
        <v>4</v>
      </c>
      <c r="B27" s="13" t="s">
        <v>3</v>
      </c>
      <c r="C27" s="9">
        <v>7</v>
      </c>
      <c r="D27" s="9">
        <v>7</v>
      </c>
      <c r="E27" s="9">
        <v>7</v>
      </c>
    </row>
    <row r="28" spans="1:6">
      <c r="A28" s="12" t="s">
        <v>25</v>
      </c>
      <c r="B28" s="8" t="s">
        <v>26</v>
      </c>
      <c r="C28" s="22">
        <v>39.9</v>
      </c>
      <c r="D28" s="28">
        <v>39.9</v>
      </c>
      <c r="E28" s="17">
        <v>39.9</v>
      </c>
    </row>
    <row r="29" spans="1:6" ht="25.5">
      <c r="A29" s="7" t="s">
        <v>5</v>
      </c>
      <c r="B29" s="8" t="s">
        <v>2</v>
      </c>
      <c r="C29" s="23">
        <v>3777.1</v>
      </c>
      <c r="D29" s="28">
        <f>(100863+372407+217241)/1000</f>
        <v>690.51099999999997</v>
      </c>
      <c r="E29" s="28">
        <f>(100863+372407+217241)/1000</f>
        <v>690.51099999999997</v>
      </c>
    </row>
    <row r="30" spans="1:6" ht="36.75">
      <c r="A30" s="14" t="s">
        <v>6</v>
      </c>
      <c r="B30" s="8" t="s">
        <v>2</v>
      </c>
      <c r="C30" s="22">
        <v>31679.599999999999</v>
      </c>
      <c r="D30" s="9">
        <f>61.9+2273.01+13.7+37.3+3.2</f>
        <v>2389.11</v>
      </c>
      <c r="E30" s="9">
        <f>61.9+2273.01+13.7+37.3+3.2</f>
        <v>2389.11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576.70000000000005</v>
      </c>
      <c r="D33" s="9">
        <f>5.8+8.8+190+3+(6000/1000)</f>
        <v>213.6</v>
      </c>
      <c r="E33" s="9">
        <f>5.8+8.8+190+3+(6000/1000)</f>
        <v>213.6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3" workbookViewId="0">
      <selection activeCell="D17" sqref="D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29</v>
      </c>
      <c r="D11" s="9">
        <v>29</v>
      </c>
      <c r="E11" s="9">
        <v>29</v>
      </c>
    </row>
    <row r="12" spans="1:6" ht="25.5">
      <c r="A12" s="12" t="s">
        <v>23</v>
      </c>
      <c r="B12" s="8" t="s">
        <v>2</v>
      </c>
      <c r="C12" s="18">
        <f>C13/C11</f>
        <v>1048.8686206896552</v>
      </c>
      <c r="D12" s="18">
        <f>D13/D11</f>
        <v>209.00903448275861</v>
      </c>
      <c r="E12" s="18">
        <f>E13/E11</f>
        <v>209.00903448275861</v>
      </c>
    </row>
    <row r="13" spans="1:6" ht="25.5">
      <c r="A13" s="7" t="s">
        <v>11</v>
      </c>
      <c r="B13" s="8" t="s">
        <v>2</v>
      </c>
      <c r="C13" s="9">
        <f>C15+C29+C30+C31+C32+C33</f>
        <v>30417.190000000002</v>
      </c>
      <c r="D13" s="17">
        <f>D15+D29+D30+D31+D32+D33</f>
        <v>6061.2619999999997</v>
      </c>
      <c r="E13" s="9">
        <f>E15+E29+E30+E31+E32+E33</f>
        <v>6061.2619999999997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19038.8</v>
      </c>
      <c r="D15" s="23">
        <f>D17+D20+D23+D26</f>
        <v>4759.7</v>
      </c>
      <c r="E15" s="22">
        <f>E17+E20+E23+E26</f>
        <v>4759.7</v>
      </c>
      <c r="F15" s="77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>
        <v>5324.8</v>
      </c>
      <c r="D17" s="68">
        <v>1331.2</v>
      </c>
      <c r="E17" s="68">
        <v>1331.2</v>
      </c>
    </row>
    <row r="18" spans="1:6">
      <c r="A18" s="12" t="s">
        <v>4</v>
      </c>
      <c r="B18" s="13" t="s">
        <v>3</v>
      </c>
      <c r="C18" s="22">
        <v>1.75</v>
      </c>
      <c r="D18" s="73">
        <v>1.75</v>
      </c>
      <c r="E18" s="73">
        <v>1.75</v>
      </c>
    </row>
    <row r="19" spans="1:6">
      <c r="A19" s="12" t="s">
        <v>25</v>
      </c>
      <c r="B19" s="8" t="s">
        <v>26</v>
      </c>
      <c r="C19" s="28">
        <v>253.6</v>
      </c>
      <c r="D19" s="86">
        <v>253.6</v>
      </c>
      <c r="E19" s="86">
        <v>253.6</v>
      </c>
    </row>
    <row r="20" spans="1:6" ht="25.5">
      <c r="A20" s="9" t="s">
        <v>21</v>
      </c>
      <c r="B20" s="8" t="s">
        <v>2</v>
      </c>
      <c r="C20" s="22">
        <v>11154</v>
      </c>
      <c r="D20" s="68">
        <v>2788.5</v>
      </c>
      <c r="E20" s="68">
        <v>2788.5</v>
      </c>
    </row>
    <row r="21" spans="1:6">
      <c r="A21" s="12" t="s">
        <v>4</v>
      </c>
      <c r="B21" s="13" t="s">
        <v>3</v>
      </c>
      <c r="C21" s="44">
        <v>13.7</v>
      </c>
      <c r="D21" s="68">
        <v>13.7</v>
      </c>
      <c r="E21" s="68">
        <v>13.7</v>
      </c>
    </row>
    <row r="22" spans="1:6">
      <c r="A22" s="12" t="s">
        <v>25</v>
      </c>
      <c r="B22" s="8" t="s">
        <v>26</v>
      </c>
      <c r="C22" s="22">
        <v>67.8</v>
      </c>
      <c r="D22" s="86">
        <v>67.8</v>
      </c>
      <c r="E22" s="86">
        <v>67.8</v>
      </c>
    </row>
    <row r="23" spans="1:6" ht="39">
      <c r="A23" s="16" t="s">
        <v>24</v>
      </c>
      <c r="B23" s="8" t="s">
        <v>2</v>
      </c>
      <c r="C23" s="22"/>
      <c r="D23" s="68"/>
      <c r="E23" s="68"/>
    </row>
    <row r="24" spans="1:6">
      <c r="A24" s="12" t="s">
        <v>4</v>
      </c>
      <c r="B24" s="13" t="s">
        <v>3</v>
      </c>
      <c r="C24" s="22"/>
      <c r="D24" s="68"/>
      <c r="E24" s="68"/>
    </row>
    <row r="25" spans="1:6">
      <c r="A25" s="12" t="s">
        <v>25</v>
      </c>
      <c r="B25" s="8" t="s">
        <v>26</v>
      </c>
      <c r="C25" s="22"/>
      <c r="D25" s="86"/>
      <c r="E25" s="86"/>
    </row>
    <row r="26" spans="1:6" ht="25.5">
      <c r="A26" s="9" t="s">
        <v>22</v>
      </c>
      <c r="B26" s="8" t="s">
        <v>2</v>
      </c>
      <c r="C26" s="22">
        <v>2560</v>
      </c>
      <c r="D26" s="68">
        <v>640</v>
      </c>
      <c r="E26" s="68">
        <v>640</v>
      </c>
    </row>
    <row r="27" spans="1:6">
      <c r="A27" s="12" t="s">
        <v>4</v>
      </c>
      <c r="B27" s="13" t="s">
        <v>3</v>
      </c>
      <c r="C27" s="9">
        <v>4.5</v>
      </c>
      <c r="D27" s="9">
        <v>4.5</v>
      </c>
      <c r="E27" s="9">
        <v>4.5</v>
      </c>
    </row>
    <row r="28" spans="1:6">
      <c r="A28" s="12" t="s">
        <v>25</v>
      </c>
      <c r="B28" s="8" t="s">
        <v>26</v>
      </c>
      <c r="C28" s="22">
        <v>47.4</v>
      </c>
      <c r="D28" s="28">
        <v>47.4</v>
      </c>
      <c r="E28" s="17">
        <v>47.4</v>
      </c>
    </row>
    <row r="29" spans="1:6" ht="25.5">
      <c r="A29" s="7" t="s">
        <v>5</v>
      </c>
      <c r="B29" s="8" t="s">
        <v>2</v>
      </c>
      <c r="C29" s="23">
        <v>2545.1999999999998</v>
      </c>
      <c r="D29" s="41">
        <f>(60966+272841+131495)/1000</f>
        <v>465.30200000000002</v>
      </c>
      <c r="E29" s="41">
        <f>(60966+272841+131495)/1000</f>
        <v>465.30200000000002</v>
      </c>
    </row>
    <row r="30" spans="1:6" ht="36.75">
      <c r="A30" s="14" t="s">
        <v>6</v>
      </c>
      <c r="B30" s="8" t="s">
        <v>2</v>
      </c>
      <c r="C30" s="22">
        <v>8256.4699999999993</v>
      </c>
      <c r="D30" s="9">
        <f>33+535.46+13.7+37.3+3.2</f>
        <v>622.66000000000008</v>
      </c>
      <c r="E30" s="9">
        <f>33+535.46+13.7+37.3+3.2</f>
        <v>622.66000000000008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576.72</v>
      </c>
      <c r="D33" s="9">
        <f>5.8+8.8+190+3+(6000/1000)</f>
        <v>213.6</v>
      </c>
      <c r="E33" s="9">
        <f>5.8+8.8+190+3+(6000/1000)</f>
        <v>213.6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3" workbookViewId="0">
      <selection activeCell="D17" sqref="D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32</v>
      </c>
      <c r="D11" s="9">
        <v>32</v>
      </c>
      <c r="E11" s="9">
        <v>32</v>
      </c>
    </row>
    <row r="12" spans="1:6" ht="25.5">
      <c r="A12" s="12" t="s">
        <v>23</v>
      </c>
      <c r="B12" s="8" t="s">
        <v>2</v>
      </c>
      <c r="C12" s="18">
        <f>C13/C11</f>
        <v>1429.2524999999998</v>
      </c>
      <c r="D12" s="18">
        <f>D13/D11</f>
        <v>247.68409375000002</v>
      </c>
      <c r="E12" s="18">
        <f>E13/E11</f>
        <v>247.68409375000002</v>
      </c>
    </row>
    <row r="13" spans="1:6" ht="25.5">
      <c r="A13" s="7" t="s">
        <v>11</v>
      </c>
      <c r="B13" s="8" t="s">
        <v>2</v>
      </c>
      <c r="C13" s="9">
        <f>C15+C29+C30+C31+C32+C33</f>
        <v>45736.079999999994</v>
      </c>
      <c r="D13" s="17">
        <f>D15+D29+D30+D31+D32+D33</f>
        <v>7925.8910000000005</v>
      </c>
      <c r="E13" s="9">
        <f>E15+E29+E30+E31+E32+E33</f>
        <v>7925.8910000000005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23110.799999999999</v>
      </c>
      <c r="D15" s="23">
        <f>D17+D20+D23+D26</f>
        <v>5777.7</v>
      </c>
      <c r="E15" s="22">
        <f>E17+E20+E23+E26</f>
        <v>5777.7</v>
      </c>
      <c r="F15" s="77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>
        <v>2925.6</v>
      </c>
      <c r="D17" s="68">
        <v>731.4</v>
      </c>
      <c r="E17" s="68">
        <v>731.4</v>
      </c>
    </row>
    <row r="18" spans="1:6">
      <c r="A18" s="12" t="s">
        <v>4</v>
      </c>
      <c r="B18" s="13" t="s">
        <v>3</v>
      </c>
      <c r="C18" s="22">
        <v>2</v>
      </c>
      <c r="D18" s="73">
        <v>2</v>
      </c>
      <c r="E18" s="73">
        <v>2</v>
      </c>
    </row>
    <row r="19" spans="1:6">
      <c r="A19" s="12" t="s">
        <v>25</v>
      </c>
      <c r="B19" s="8" t="s">
        <v>26</v>
      </c>
      <c r="C19" s="28">
        <v>121.9</v>
      </c>
      <c r="D19" s="86">
        <v>121.9</v>
      </c>
      <c r="E19" s="86">
        <v>121.9</v>
      </c>
    </row>
    <row r="20" spans="1:6" ht="25.5">
      <c r="A20" s="9" t="s">
        <v>21</v>
      </c>
      <c r="B20" s="8" t="s">
        <v>2</v>
      </c>
      <c r="C20" s="22">
        <v>16430</v>
      </c>
      <c r="D20" s="68">
        <v>4107.5</v>
      </c>
      <c r="E20" s="68">
        <v>4107.5</v>
      </c>
    </row>
    <row r="21" spans="1:6">
      <c r="A21" s="12" t="s">
        <v>4</v>
      </c>
      <c r="B21" s="13" t="s">
        <v>3</v>
      </c>
      <c r="C21" s="28">
        <v>12.467000000000001</v>
      </c>
      <c r="D21" s="85">
        <v>12.467000000000001</v>
      </c>
      <c r="E21" s="85">
        <v>12.467000000000001</v>
      </c>
    </row>
    <row r="22" spans="1:6">
      <c r="A22" s="12" t="s">
        <v>25</v>
      </c>
      <c r="B22" s="8" t="s">
        <v>26</v>
      </c>
      <c r="C22" s="28">
        <f>C20/C21/12</f>
        <v>109.82326675757332</v>
      </c>
      <c r="D22" s="86">
        <v>109.8</v>
      </c>
      <c r="E22" s="86">
        <v>109.8</v>
      </c>
    </row>
    <row r="23" spans="1:6" ht="39">
      <c r="A23" s="16" t="s">
        <v>24</v>
      </c>
      <c r="B23" s="8" t="s">
        <v>2</v>
      </c>
      <c r="C23" s="22">
        <v>605.20000000000005</v>
      </c>
      <c r="D23" s="68">
        <v>151.30000000000001</v>
      </c>
      <c r="E23" s="68">
        <v>151.30000000000001</v>
      </c>
    </row>
    <row r="24" spans="1:6">
      <c r="A24" s="12" t="s">
        <v>4</v>
      </c>
      <c r="B24" s="13" t="s">
        <v>3</v>
      </c>
      <c r="C24" s="22">
        <v>1.1499999999999999</v>
      </c>
      <c r="D24" s="73">
        <v>1.1499999999999999</v>
      </c>
      <c r="E24" s="73">
        <v>1.1499999999999999</v>
      </c>
    </row>
    <row r="25" spans="1:6">
      <c r="A25" s="12" t="s">
        <v>25</v>
      </c>
      <c r="B25" s="8" t="s">
        <v>26</v>
      </c>
      <c r="C25" s="22">
        <v>43.9</v>
      </c>
      <c r="D25" s="86">
        <v>43.9</v>
      </c>
      <c r="E25" s="86">
        <v>43.9</v>
      </c>
    </row>
    <row r="26" spans="1:6" ht="25.5">
      <c r="A26" s="9" t="s">
        <v>22</v>
      </c>
      <c r="B26" s="8" t="s">
        <v>2</v>
      </c>
      <c r="C26" s="22">
        <v>3150</v>
      </c>
      <c r="D26" s="68">
        <v>787.5</v>
      </c>
      <c r="E26" s="68">
        <v>787.5</v>
      </c>
    </row>
    <row r="27" spans="1:6">
      <c r="A27" s="12" t="s">
        <v>4</v>
      </c>
      <c r="B27" s="13" t="s">
        <v>3</v>
      </c>
      <c r="C27" s="22">
        <v>5.36</v>
      </c>
      <c r="D27" s="22">
        <v>5.36</v>
      </c>
      <c r="E27" s="22">
        <v>5.36</v>
      </c>
    </row>
    <row r="28" spans="1:6">
      <c r="A28" s="12" t="s">
        <v>25</v>
      </c>
      <c r="B28" s="8" t="s">
        <v>26</v>
      </c>
      <c r="C28" s="22">
        <v>49</v>
      </c>
      <c r="D28" s="28">
        <f>D26/D27/3</f>
        <v>48.973880597014926</v>
      </c>
      <c r="E28" s="17">
        <f>E26/E27/3</f>
        <v>48.973880597014926</v>
      </c>
    </row>
    <row r="29" spans="1:6" ht="25.5">
      <c r="A29" s="7" t="s">
        <v>5</v>
      </c>
      <c r="B29" s="8" t="s">
        <v>2</v>
      </c>
      <c r="C29" s="23">
        <v>2471.46</v>
      </c>
      <c r="D29" s="41">
        <f>(77878+208257+165686)/1000</f>
        <v>451.82100000000003</v>
      </c>
      <c r="E29" s="41">
        <f>(77878+208257+165686)/1000</f>
        <v>451.82100000000003</v>
      </c>
    </row>
    <row r="30" spans="1:6" ht="36.75">
      <c r="A30" s="14" t="s">
        <v>6</v>
      </c>
      <c r="B30" s="8" t="s">
        <v>2</v>
      </c>
      <c r="C30" s="22">
        <v>19555.5</v>
      </c>
      <c r="D30" s="9">
        <f>135.9+1284.67+13.7+37.3+3.2</f>
        <v>1474.7700000000002</v>
      </c>
      <c r="E30" s="9">
        <f>135.9+1284.67+13.7+37.3+3.2</f>
        <v>1474.7700000000002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f>5.8+8.8+190+3+(14000/1000)</f>
        <v>221.6</v>
      </c>
      <c r="E33" s="9">
        <f>5.8+8.8+190+3+(14000/1000)</f>
        <v>221.6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2" workbookViewId="0">
      <selection activeCell="D17" sqref="D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5" t="s">
        <v>15</v>
      </c>
      <c r="B1" s="95"/>
      <c r="C1" s="95"/>
      <c r="D1" s="95"/>
      <c r="E1" s="95"/>
    </row>
    <row r="2" spans="1:5">
      <c r="A2" s="95" t="s">
        <v>42</v>
      </c>
      <c r="B2" s="95"/>
      <c r="C2" s="95"/>
      <c r="D2" s="95"/>
      <c r="E2" s="95"/>
    </row>
    <row r="3" spans="1:5">
      <c r="A3" s="96" t="s">
        <v>28</v>
      </c>
      <c r="B3" s="96"/>
      <c r="C3" s="96"/>
      <c r="D3" s="96"/>
      <c r="E3" s="96"/>
    </row>
    <row r="4" spans="1:5">
      <c r="A4" s="96"/>
      <c r="B4" s="96"/>
      <c r="C4" s="96"/>
      <c r="D4" s="96"/>
      <c r="E4" s="96"/>
    </row>
    <row r="5" spans="1:5">
      <c r="A5" s="97" t="s">
        <v>16</v>
      </c>
      <c r="B5" s="97"/>
      <c r="C5" s="97"/>
      <c r="D5" s="97"/>
      <c r="E5" s="97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8" t="s">
        <v>27</v>
      </c>
      <c r="B9" s="99" t="s">
        <v>18</v>
      </c>
      <c r="C9" s="98" t="s">
        <v>30</v>
      </c>
      <c r="D9" s="98"/>
      <c r="E9" s="98"/>
    </row>
    <row r="10" spans="1:5" ht="81">
      <c r="A10" s="98"/>
      <c r="B10" s="99"/>
      <c r="C10" s="25" t="s">
        <v>19</v>
      </c>
      <c r="D10" s="78" t="s">
        <v>44</v>
      </c>
      <c r="E10" s="24" t="s">
        <v>14</v>
      </c>
    </row>
    <row r="11" spans="1:5">
      <c r="A11" s="7" t="s">
        <v>20</v>
      </c>
      <c r="B11" s="8" t="s">
        <v>10</v>
      </c>
      <c r="C11" s="9">
        <v>47</v>
      </c>
      <c r="D11" s="9">
        <v>47</v>
      </c>
      <c r="E11" s="9">
        <v>47</v>
      </c>
    </row>
    <row r="12" spans="1:5" ht="25.5">
      <c r="A12" s="12" t="s">
        <v>23</v>
      </c>
      <c r="B12" s="8" t="s">
        <v>2</v>
      </c>
      <c r="C12" s="18">
        <f>C13/C11</f>
        <v>792.93106382978726</v>
      </c>
      <c r="D12" s="18">
        <f>D13/D11</f>
        <v>158.67536170212767</v>
      </c>
      <c r="E12" s="18">
        <f>E13/E11</f>
        <v>158.67536170212767</v>
      </c>
    </row>
    <row r="13" spans="1:5" ht="25.5">
      <c r="A13" s="7" t="s">
        <v>11</v>
      </c>
      <c r="B13" s="8" t="s">
        <v>2</v>
      </c>
      <c r="C13" s="9">
        <f>C15+C29+C30+C31+C32+C33</f>
        <v>37267.760000000002</v>
      </c>
      <c r="D13" s="17">
        <f>D15+D29+D30+D31+D32+D33</f>
        <v>7457.7420000000011</v>
      </c>
      <c r="E13" s="9">
        <f>E15+E29+E30+E31+E32+E33</f>
        <v>7457.7420000000011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23713.200000000004</v>
      </c>
      <c r="D15" s="23">
        <f>D17+D20+D23+D26</f>
        <v>5928.3000000000011</v>
      </c>
      <c r="E15" s="22">
        <f>E17+E20+E23+E26</f>
        <v>5928.3000000000011</v>
      </c>
    </row>
    <row r="16" spans="1:5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>
        <v>2666.4</v>
      </c>
      <c r="D17" s="68">
        <v>666.6</v>
      </c>
      <c r="E17" s="68">
        <v>666.6</v>
      </c>
    </row>
    <row r="18" spans="1:6">
      <c r="A18" s="12" t="s">
        <v>4</v>
      </c>
      <c r="B18" s="13" t="s">
        <v>3</v>
      </c>
      <c r="C18" s="44">
        <v>1.5</v>
      </c>
      <c r="D18" s="68">
        <v>1.5</v>
      </c>
      <c r="E18" s="68">
        <v>1.5</v>
      </c>
    </row>
    <row r="19" spans="1:6">
      <c r="A19" s="12" t="s">
        <v>25</v>
      </c>
      <c r="B19" s="8" t="s">
        <v>26</v>
      </c>
      <c r="C19" s="28">
        <v>148.1</v>
      </c>
      <c r="D19" s="86">
        <v>148.1</v>
      </c>
      <c r="E19" s="86">
        <v>148.1</v>
      </c>
    </row>
    <row r="20" spans="1:6" ht="25.5">
      <c r="A20" s="9" t="s">
        <v>21</v>
      </c>
      <c r="B20" s="8" t="s">
        <v>2</v>
      </c>
      <c r="C20" s="22">
        <v>16764.400000000001</v>
      </c>
      <c r="D20" s="68">
        <v>4191.1000000000004</v>
      </c>
      <c r="E20" s="68">
        <v>4191.1000000000004</v>
      </c>
    </row>
    <row r="21" spans="1:6">
      <c r="A21" s="12" t="s">
        <v>4</v>
      </c>
      <c r="B21" s="13" t="s">
        <v>3</v>
      </c>
      <c r="C21" s="44">
        <v>14.5</v>
      </c>
      <c r="D21" s="68">
        <v>14.5</v>
      </c>
      <c r="E21" s="68">
        <v>14.5</v>
      </c>
    </row>
    <row r="22" spans="1:6">
      <c r="A22" s="12" t="s">
        <v>25</v>
      </c>
      <c r="B22" s="8" t="s">
        <v>26</v>
      </c>
      <c r="C22" s="28">
        <v>96.3</v>
      </c>
      <c r="D22" s="86">
        <v>96.3</v>
      </c>
      <c r="E22" s="86">
        <v>96.3</v>
      </c>
    </row>
    <row r="23" spans="1:6" ht="39">
      <c r="A23" s="16" t="s">
        <v>24</v>
      </c>
      <c r="B23" s="8" t="s">
        <v>2</v>
      </c>
      <c r="C23" s="22"/>
      <c r="D23" s="68"/>
      <c r="E23" s="68"/>
    </row>
    <row r="24" spans="1:6">
      <c r="A24" s="12" t="s">
        <v>4</v>
      </c>
      <c r="B24" s="13" t="s">
        <v>3</v>
      </c>
      <c r="C24" s="22"/>
      <c r="D24" s="68"/>
      <c r="E24" s="68"/>
    </row>
    <row r="25" spans="1:6">
      <c r="A25" s="12" t="s">
        <v>25</v>
      </c>
      <c r="B25" s="8" t="s">
        <v>26</v>
      </c>
      <c r="C25" s="22"/>
      <c r="D25" s="86"/>
      <c r="E25" s="86"/>
    </row>
    <row r="26" spans="1:6" ht="25.5">
      <c r="A26" s="9" t="s">
        <v>22</v>
      </c>
      <c r="B26" s="8" t="s">
        <v>2</v>
      </c>
      <c r="C26" s="22">
        <v>4282.3999999999996</v>
      </c>
      <c r="D26" s="68">
        <v>1070.5999999999999</v>
      </c>
      <c r="E26" s="68">
        <v>1070.5999999999999</v>
      </c>
    </row>
    <row r="27" spans="1:6">
      <c r="A27" s="12" t="s">
        <v>4</v>
      </c>
      <c r="B27" s="13" t="s">
        <v>3</v>
      </c>
      <c r="C27" s="9">
        <v>5.5</v>
      </c>
      <c r="D27" s="9">
        <v>5.5</v>
      </c>
      <c r="E27" s="9">
        <v>5.5</v>
      </c>
    </row>
    <row r="28" spans="1:6">
      <c r="A28" s="12" t="s">
        <v>25</v>
      </c>
      <c r="B28" s="8" t="s">
        <v>26</v>
      </c>
      <c r="C28" s="28">
        <f>C26/C27/12</f>
        <v>64.884848484848476</v>
      </c>
      <c r="D28" s="28">
        <v>64.900000000000006</v>
      </c>
      <c r="E28" s="17">
        <v>64.900000000000006</v>
      </c>
    </row>
    <row r="29" spans="1:6" ht="25.5">
      <c r="A29" s="7" t="s">
        <v>5</v>
      </c>
      <c r="B29" s="8" t="s">
        <v>2</v>
      </c>
      <c r="C29" s="23">
        <v>3138.92</v>
      </c>
      <c r="D29" s="23">
        <f>(82026+315755+176061)/1000</f>
        <v>573.84199999999998</v>
      </c>
      <c r="E29" s="23">
        <f>(82026+315755+176061)/1000</f>
        <v>573.84199999999998</v>
      </c>
    </row>
    <row r="30" spans="1:6" ht="36.75">
      <c r="A30" s="14" t="s">
        <v>6</v>
      </c>
      <c r="B30" s="8" t="s">
        <v>2</v>
      </c>
      <c r="C30" s="22">
        <v>9838.92</v>
      </c>
      <c r="D30" s="9">
        <f>20.1+667.7+13.7+37.3+3.2</f>
        <v>742.00000000000011</v>
      </c>
      <c r="E30" s="9">
        <f>20.1+667.7+13.7+37.3+3.2</f>
        <v>742.00000000000011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576.72</v>
      </c>
      <c r="D33" s="9">
        <f>5.8+8.8+190+3+(6000/1000)</f>
        <v>213.6</v>
      </c>
      <c r="E33" s="9">
        <f>5.8+8.8+190+3+(6000/1000)</f>
        <v>213.6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D26" sqref="D26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37</v>
      </c>
      <c r="D11" s="9">
        <v>37</v>
      </c>
      <c r="E11" s="9">
        <v>37</v>
      </c>
    </row>
    <row r="12" spans="1:6" ht="25.5">
      <c r="A12" s="12" t="s">
        <v>23</v>
      </c>
      <c r="B12" s="8" t="s">
        <v>2</v>
      </c>
      <c r="C12" s="18">
        <f>C13/C11</f>
        <v>2271.0943243243246</v>
      </c>
      <c r="D12" s="18">
        <f>D13/D11</f>
        <v>329.56132432432435</v>
      </c>
      <c r="E12" s="18">
        <f>E13/E11</f>
        <v>329.56132432432435</v>
      </c>
    </row>
    <row r="13" spans="1:6" ht="25.5">
      <c r="A13" s="7" t="s">
        <v>11</v>
      </c>
      <c r="B13" s="8" t="s">
        <v>2</v>
      </c>
      <c r="C13" s="9">
        <f>C15+C29+C30+C31+C32+C33</f>
        <v>84030.49</v>
      </c>
      <c r="D13" s="17">
        <f>D15+D29+D30+D31+D32+D33</f>
        <v>12193.769</v>
      </c>
      <c r="E13" s="9">
        <f>E15+E29+E30+E31+E32+E33</f>
        <v>12193.769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30089.200000000001</v>
      </c>
      <c r="D15" s="23">
        <f>D17+D20+D23+D26</f>
        <v>7522.3</v>
      </c>
      <c r="E15" s="22">
        <f>E17+E20+E23+E26</f>
        <v>7522.3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73">
        <v>967.6</v>
      </c>
      <c r="D17" s="68">
        <v>241.9</v>
      </c>
      <c r="E17" s="68">
        <v>241.9</v>
      </c>
    </row>
    <row r="18" spans="1:6">
      <c r="A18" s="12" t="s">
        <v>4</v>
      </c>
      <c r="B18" s="13" t="s">
        <v>3</v>
      </c>
      <c r="C18" s="73">
        <v>2</v>
      </c>
      <c r="D18" s="73">
        <v>2</v>
      </c>
      <c r="E18" s="73">
        <v>2</v>
      </c>
    </row>
    <row r="19" spans="1:6">
      <c r="A19" s="12" t="s">
        <v>25</v>
      </c>
      <c r="B19" s="8" t="s">
        <v>26</v>
      </c>
      <c r="C19" s="85">
        <v>40.299999999999997</v>
      </c>
      <c r="D19" s="86">
        <v>40.299999999999997</v>
      </c>
      <c r="E19" s="86">
        <v>40.299999999999997</v>
      </c>
    </row>
    <row r="20" spans="1:6" ht="25.5">
      <c r="A20" s="9" t="s">
        <v>21</v>
      </c>
      <c r="B20" s="8" t="s">
        <v>2</v>
      </c>
      <c r="C20" s="73">
        <v>22974.400000000001</v>
      </c>
      <c r="D20" s="68">
        <v>5743.6</v>
      </c>
      <c r="E20" s="68">
        <v>5743.6</v>
      </c>
    </row>
    <row r="21" spans="1:6">
      <c r="A21" s="12" t="s">
        <v>4</v>
      </c>
      <c r="B21" s="13" t="s">
        <v>3</v>
      </c>
      <c r="C21" s="73">
        <v>16.649999999999999</v>
      </c>
      <c r="D21" s="73">
        <v>16.649999999999999</v>
      </c>
      <c r="E21" s="73">
        <v>16.649999999999999</v>
      </c>
    </row>
    <row r="22" spans="1:6">
      <c r="A22" s="12" t="s">
        <v>25</v>
      </c>
      <c r="B22" s="8" t="s">
        <v>26</v>
      </c>
      <c r="C22" s="73">
        <v>115</v>
      </c>
      <c r="D22" s="86">
        <v>115</v>
      </c>
      <c r="E22" s="86">
        <v>115</v>
      </c>
    </row>
    <row r="23" spans="1:6" ht="39">
      <c r="A23" s="16" t="s">
        <v>24</v>
      </c>
      <c r="B23" s="8" t="s">
        <v>2</v>
      </c>
      <c r="C23" s="73">
        <v>652.4</v>
      </c>
      <c r="D23" s="68">
        <v>163.1</v>
      </c>
      <c r="E23" s="68">
        <v>163.1</v>
      </c>
    </row>
    <row r="24" spans="1:6">
      <c r="A24" s="12" t="s">
        <v>4</v>
      </c>
      <c r="B24" s="13" t="s">
        <v>3</v>
      </c>
      <c r="C24" s="73">
        <v>1</v>
      </c>
      <c r="D24" s="73">
        <v>1</v>
      </c>
      <c r="E24" s="73">
        <v>1</v>
      </c>
    </row>
    <row r="25" spans="1:6">
      <c r="A25" s="12" t="s">
        <v>25</v>
      </c>
      <c r="B25" s="8" t="s">
        <v>26</v>
      </c>
      <c r="C25" s="73">
        <v>54.4</v>
      </c>
      <c r="D25" s="86">
        <v>54.4</v>
      </c>
      <c r="E25" s="86">
        <v>54.4</v>
      </c>
    </row>
    <row r="26" spans="1:6" ht="25.5">
      <c r="A26" s="9" t="s">
        <v>22</v>
      </c>
      <c r="B26" s="8" t="s">
        <v>2</v>
      </c>
      <c r="C26" s="22">
        <v>5494.8</v>
      </c>
      <c r="D26" s="68">
        <v>1373.7</v>
      </c>
      <c r="E26" s="68">
        <v>1373.7</v>
      </c>
    </row>
    <row r="27" spans="1:6">
      <c r="A27" s="12" t="s">
        <v>4</v>
      </c>
      <c r="B27" s="13" t="s">
        <v>3</v>
      </c>
      <c r="C27" s="22">
        <v>9.5</v>
      </c>
      <c r="D27" s="22">
        <v>9.5</v>
      </c>
      <c r="E27" s="22">
        <v>9.5</v>
      </c>
    </row>
    <row r="28" spans="1:6">
      <c r="A28" s="12" t="s">
        <v>25</v>
      </c>
      <c r="B28" s="8" t="s">
        <v>26</v>
      </c>
      <c r="C28" s="22"/>
      <c r="D28" s="28"/>
      <c r="E28" s="17"/>
    </row>
    <row r="29" spans="1:6" ht="25.5">
      <c r="A29" s="7" t="s">
        <v>5</v>
      </c>
      <c r="B29" s="8" t="s">
        <v>2</v>
      </c>
      <c r="C29" s="23">
        <v>3975.97</v>
      </c>
      <c r="D29" s="41">
        <f>(107599+389714+229556)/1000</f>
        <v>726.86900000000003</v>
      </c>
      <c r="E29" s="41">
        <f>(107599+389714+229556)/1000</f>
        <v>726.86900000000003</v>
      </c>
    </row>
    <row r="30" spans="1:6" ht="36.75">
      <c r="A30" s="14" t="s">
        <v>6</v>
      </c>
      <c r="B30" s="8" t="s">
        <v>2</v>
      </c>
      <c r="C30" s="22">
        <v>49367</v>
      </c>
      <c r="D30" s="9">
        <f>218.4+3450.4+13.7+37.3+3.2</f>
        <v>3723</v>
      </c>
      <c r="E30" s="9">
        <f>218.4+3450.4+13.7+37.3+3.2</f>
        <v>3723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f>5.8+8.8+190+3+(14000/1000)</f>
        <v>221.6</v>
      </c>
      <c r="E33" s="9">
        <f>5.8+8.8+190+3+(14000/1000)</f>
        <v>221.6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6" ht="25.5">
      <c r="A12" s="12" t="s">
        <v>23</v>
      </c>
      <c r="B12" s="8" t="s">
        <v>2</v>
      </c>
      <c r="C12" s="18">
        <f>C13/C11</f>
        <v>994.76533333333327</v>
      </c>
      <c r="D12" s="18">
        <f>D13/D11</f>
        <v>191.92859999999999</v>
      </c>
      <c r="E12" s="18">
        <f>E13/E11</f>
        <v>191.92859999999999</v>
      </c>
    </row>
    <row r="13" spans="1:6" ht="25.5">
      <c r="A13" s="7" t="s">
        <v>11</v>
      </c>
      <c r="B13" s="8" t="s">
        <v>2</v>
      </c>
      <c r="C13" s="9">
        <f>C15+C29+C30+C31+C32+C33</f>
        <v>14921.48</v>
      </c>
      <c r="D13" s="17">
        <f>D15+D29+D30+D31+D32+D33</f>
        <v>2878.9289999999996</v>
      </c>
      <c r="E13" s="9">
        <f>E15+E29+E30+E31+E32+E33</f>
        <v>2878.9289999999996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8370</v>
      </c>
      <c r="D15" s="23">
        <f>D17+D20+D23+D26</f>
        <v>2092.5</v>
      </c>
      <c r="E15" s="22">
        <f>E17+E20+E23+E26</f>
        <v>2092.5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73"/>
      <c r="D17" s="73"/>
      <c r="E17" s="68"/>
    </row>
    <row r="18" spans="1:6">
      <c r="A18" s="12" t="s">
        <v>4</v>
      </c>
      <c r="B18" s="13" t="s">
        <v>3</v>
      </c>
      <c r="C18" s="73"/>
      <c r="D18" s="73"/>
      <c r="E18" s="68"/>
    </row>
    <row r="19" spans="1:6">
      <c r="A19" s="12" t="s">
        <v>25</v>
      </c>
      <c r="B19" s="8" t="s">
        <v>26</v>
      </c>
      <c r="C19" s="85"/>
      <c r="D19" s="85"/>
      <c r="E19" s="86"/>
    </row>
    <row r="20" spans="1:6" ht="25.5">
      <c r="A20" s="9" t="s">
        <v>21</v>
      </c>
      <c r="B20" s="8" t="s">
        <v>2</v>
      </c>
      <c r="C20" s="68">
        <v>6811.6</v>
      </c>
      <c r="D20" s="68">
        <v>1702.9</v>
      </c>
      <c r="E20" s="68">
        <v>1702.9</v>
      </c>
    </row>
    <row r="21" spans="1:6">
      <c r="A21" s="12" t="s">
        <v>4</v>
      </c>
      <c r="B21" s="13" t="s">
        <v>3</v>
      </c>
      <c r="C21" s="73">
        <v>5.0670000000000002</v>
      </c>
      <c r="D21" s="73">
        <v>5.0670000000000002</v>
      </c>
      <c r="E21" s="73">
        <v>5.0670000000000002</v>
      </c>
    </row>
    <row r="22" spans="1:6">
      <c r="A22" s="12" t="s">
        <v>25</v>
      </c>
      <c r="B22" s="8" t="s">
        <v>26</v>
      </c>
      <c r="C22" s="73">
        <v>112</v>
      </c>
      <c r="D22" s="85">
        <v>112</v>
      </c>
      <c r="E22" s="86">
        <v>112</v>
      </c>
    </row>
    <row r="23" spans="1:6" ht="39">
      <c r="A23" s="16" t="s">
        <v>24</v>
      </c>
      <c r="B23" s="8" t="s">
        <v>2</v>
      </c>
      <c r="C23" s="73"/>
      <c r="D23" s="73"/>
      <c r="E23" s="68"/>
    </row>
    <row r="24" spans="1:6">
      <c r="A24" s="12" t="s">
        <v>4</v>
      </c>
      <c r="B24" s="13" t="s">
        <v>3</v>
      </c>
      <c r="C24" s="73"/>
      <c r="D24" s="73"/>
      <c r="E24" s="68"/>
    </row>
    <row r="25" spans="1:6">
      <c r="A25" s="12" t="s">
        <v>25</v>
      </c>
      <c r="B25" s="8" t="s">
        <v>26</v>
      </c>
      <c r="C25" s="73"/>
      <c r="D25" s="85"/>
      <c r="E25" s="86"/>
    </row>
    <row r="26" spans="1:6" ht="25.5">
      <c r="A26" s="9" t="s">
        <v>22</v>
      </c>
      <c r="B26" s="8" t="s">
        <v>2</v>
      </c>
      <c r="C26" s="68">
        <v>1558.4</v>
      </c>
      <c r="D26" s="68">
        <v>389.6</v>
      </c>
      <c r="E26" s="68">
        <v>389.6</v>
      </c>
    </row>
    <row r="27" spans="1:6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>
      <c r="A28" s="12" t="s">
        <v>25</v>
      </c>
      <c r="B28" s="8" t="s">
        <v>26</v>
      </c>
      <c r="C28" s="22">
        <v>64.900000000000006</v>
      </c>
      <c r="D28" s="28">
        <v>64.900000000000006</v>
      </c>
      <c r="E28" s="17">
        <v>64.900000000000006</v>
      </c>
    </row>
    <row r="29" spans="1:6" ht="25.5">
      <c r="A29" s="7" t="s">
        <v>5</v>
      </c>
      <c r="B29" s="8" t="s">
        <v>2</v>
      </c>
      <c r="C29" s="23">
        <v>1160.46</v>
      </c>
      <c r="D29" s="28">
        <f>(30598+107931+73620)/1000</f>
        <v>212.149</v>
      </c>
      <c r="E29" s="28">
        <f>(30598+107931+73620)/1000</f>
        <v>212.149</v>
      </c>
    </row>
    <row r="30" spans="1:6" ht="36.75">
      <c r="A30" s="14" t="s">
        <v>6</v>
      </c>
      <c r="B30" s="8" t="s">
        <v>2</v>
      </c>
      <c r="C30" s="22">
        <v>4822.3999999999996</v>
      </c>
      <c r="D30" s="9">
        <f>7.7+301.78+13.7+37.3+3.2</f>
        <v>363.67999999999995</v>
      </c>
      <c r="E30" s="9">
        <f>7.7+301.78+13.7+37.3+3.2</f>
        <v>363.67999999999995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6" workbookViewId="0">
      <selection activeCell="D17" sqref="D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6</v>
      </c>
      <c r="D11" s="9">
        <v>6</v>
      </c>
      <c r="E11" s="9">
        <v>6</v>
      </c>
    </row>
    <row r="12" spans="1:6" ht="25.5">
      <c r="A12" s="12" t="s">
        <v>23</v>
      </c>
      <c r="B12" s="8" t="s">
        <v>2</v>
      </c>
      <c r="C12" s="18">
        <f>C13/C11</f>
        <v>2205.9050000000002</v>
      </c>
      <c r="D12" s="18">
        <f>D13/D11</f>
        <v>333.91216666666668</v>
      </c>
      <c r="E12" s="18">
        <f>E13/E11</f>
        <v>333.91216666666668</v>
      </c>
    </row>
    <row r="13" spans="1:6" ht="25.5">
      <c r="A13" s="7" t="s">
        <v>11</v>
      </c>
      <c r="B13" s="8" t="s">
        <v>2</v>
      </c>
      <c r="C13" s="9">
        <f>C15+C29+C30+C31+C32+C33</f>
        <v>13235.43</v>
      </c>
      <c r="D13" s="17">
        <f>D15+D29+D30+D31+D32+D33</f>
        <v>2003.473</v>
      </c>
      <c r="E13" s="9">
        <f>E15+E29+E30+E31+E32+E33</f>
        <v>2003.473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4412.3999999999996</v>
      </c>
      <c r="D15" s="23">
        <f>D17+D20+D23+D26</f>
        <v>1103.0999999999999</v>
      </c>
      <c r="E15" s="22">
        <f>E17+E20+E23+E26</f>
        <v>1103.0999999999999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/>
      <c r="D17" s="73"/>
      <c r="E17" s="68"/>
    </row>
    <row r="18" spans="1:6">
      <c r="A18" s="12" t="s">
        <v>4</v>
      </c>
      <c r="B18" s="13" t="s">
        <v>3</v>
      </c>
      <c r="C18" s="22"/>
      <c r="D18" s="73"/>
      <c r="E18" s="68"/>
    </row>
    <row r="19" spans="1:6">
      <c r="A19" s="12" t="s">
        <v>25</v>
      </c>
      <c r="B19" s="8" t="s">
        <v>26</v>
      </c>
      <c r="C19" s="28"/>
      <c r="D19" s="85"/>
      <c r="E19" s="86"/>
    </row>
    <row r="20" spans="1:6" ht="25.5">
      <c r="A20" s="9" t="s">
        <v>21</v>
      </c>
      <c r="B20" s="8" t="s">
        <v>2</v>
      </c>
      <c r="C20" s="9">
        <v>2950</v>
      </c>
      <c r="D20" s="68">
        <v>737.5</v>
      </c>
      <c r="E20" s="68">
        <v>737.5</v>
      </c>
    </row>
    <row r="21" spans="1:6">
      <c r="A21" s="12" t="s">
        <v>4</v>
      </c>
      <c r="B21" s="13" t="s">
        <v>3</v>
      </c>
      <c r="C21" s="9">
        <v>2.1110000000000002</v>
      </c>
      <c r="D21" s="73">
        <v>2.1110000000000002</v>
      </c>
      <c r="E21" s="73">
        <v>2.1110000000000002</v>
      </c>
    </row>
    <row r="22" spans="1:6">
      <c r="A22" s="12" t="s">
        <v>25</v>
      </c>
      <c r="B22" s="8" t="s">
        <v>26</v>
      </c>
      <c r="C22" s="9">
        <v>116.5</v>
      </c>
      <c r="D22" s="86">
        <f>D20/D21/3</f>
        <v>116.45349755250275</v>
      </c>
      <c r="E22" s="86">
        <v>116.5</v>
      </c>
    </row>
    <row r="23" spans="1:6" ht="39">
      <c r="A23" s="16" t="s">
        <v>24</v>
      </c>
      <c r="B23" s="8" t="s">
        <v>2</v>
      </c>
      <c r="C23" s="9"/>
      <c r="D23" s="68"/>
      <c r="E23" s="68"/>
    </row>
    <row r="24" spans="1:6">
      <c r="A24" s="12" t="s">
        <v>4</v>
      </c>
      <c r="B24" s="13" t="s">
        <v>3</v>
      </c>
      <c r="C24" s="9"/>
      <c r="D24" s="68"/>
      <c r="E24" s="68"/>
    </row>
    <row r="25" spans="1:6">
      <c r="A25" s="12" t="s">
        <v>25</v>
      </c>
      <c r="B25" s="8" t="s">
        <v>26</v>
      </c>
      <c r="C25" s="9"/>
      <c r="D25" s="86"/>
      <c r="E25" s="86"/>
    </row>
    <row r="26" spans="1:6" ht="25.5">
      <c r="A26" s="9" t="s">
        <v>22</v>
      </c>
      <c r="B26" s="8" t="s">
        <v>2</v>
      </c>
      <c r="C26" s="9">
        <v>1462.4</v>
      </c>
      <c r="D26" s="68">
        <v>365.6</v>
      </c>
      <c r="E26" s="68">
        <v>365.6</v>
      </c>
    </row>
    <row r="27" spans="1:6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>
      <c r="A28" s="12" t="s">
        <v>25</v>
      </c>
      <c r="B28" s="8" t="s">
        <v>26</v>
      </c>
      <c r="C28" s="22">
        <v>60.9</v>
      </c>
      <c r="D28" s="28">
        <v>60.9</v>
      </c>
      <c r="E28" s="17">
        <v>60.9</v>
      </c>
    </row>
    <row r="29" spans="1:6" ht="25.5">
      <c r="A29" s="7" t="s">
        <v>5</v>
      </c>
      <c r="B29" s="8" t="s">
        <v>2</v>
      </c>
      <c r="C29" s="23">
        <v>626.33000000000004</v>
      </c>
      <c r="D29" s="28">
        <f>(16087+61827+36589)/1000</f>
        <v>114.503</v>
      </c>
      <c r="E29" s="28">
        <f>(16087+61827+36589)/1000</f>
        <v>114.503</v>
      </c>
    </row>
    <row r="30" spans="1:6" ht="36.75">
      <c r="A30" s="14" t="s">
        <v>6</v>
      </c>
      <c r="B30" s="8" t="s">
        <v>2</v>
      </c>
      <c r="C30" s="22">
        <v>7628.08</v>
      </c>
      <c r="D30" s="9">
        <f>5.7+515.37+13.7+37.3+3.2</f>
        <v>575.2700000000001</v>
      </c>
      <c r="E30" s="9">
        <f>5.7+515.37+13.7+37.3+3.2</f>
        <v>575.2700000000001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3" workbookViewId="0">
      <selection activeCell="D16" sqref="D16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6" ht="25.5">
      <c r="A12" s="12" t="s">
        <v>23</v>
      </c>
      <c r="B12" s="8" t="s">
        <v>2</v>
      </c>
      <c r="C12" s="18">
        <f>C13/C11</f>
        <v>1798.6861538461537</v>
      </c>
      <c r="D12" s="18">
        <f>D13/D11</f>
        <v>275.44923076923078</v>
      </c>
      <c r="E12" s="18">
        <f>E13/E11</f>
        <v>275.44923076923078</v>
      </c>
    </row>
    <row r="13" spans="1:6" ht="25.5">
      <c r="A13" s="7" t="s">
        <v>11</v>
      </c>
      <c r="B13" s="8" t="s">
        <v>2</v>
      </c>
      <c r="C13" s="9">
        <f>C15+C29+C30+C31+C32+C33</f>
        <v>23382.92</v>
      </c>
      <c r="D13" s="17">
        <f>D15+D29+D30+D31+D32+D33</f>
        <v>3580.84</v>
      </c>
      <c r="E13" s="9">
        <f>E15+E29+E30+E31+E32+E33</f>
        <v>3580.84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8768</v>
      </c>
      <c r="D15" s="23">
        <f>D17+D20+D23+D26</f>
        <v>2192</v>
      </c>
      <c r="E15" s="22">
        <f>E17+E20+E23+E26</f>
        <v>2192</v>
      </c>
      <c r="F15" s="19"/>
    </row>
    <row r="16" spans="1:6">
      <c r="A16" s="10" t="s">
        <v>1</v>
      </c>
      <c r="B16" s="11"/>
      <c r="C16" s="22"/>
      <c r="D16" s="73"/>
      <c r="E16" s="73"/>
    </row>
    <row r="17" spans="1:6" ht="25.5">
      <c r="A17" s="9" t="s">
        <v>13</v>
      </c>
      <c r="B17" s="8" t="s">
        <v>2</v>
      </c>
      <c r="C17" s="22"/>
      <c r="D17" s="73"/>
      <c r="E17" s="68"/>
    </row>
    <row r="18" spans="1:6">
      <c r="A18" s="12" t="s">
        <v>4</v>
      </c>
      <c r="B18" s="13" t="s">
        <v>3</v>
      </c>
      <c r="C18" s="22"/>
      <c r="D18" s="73"/>
      <c r="E18" s="68"/>
    </row>
    <row r="19" spans="1:6">
      <c r="A19" s="12" t="s">
        <v>25</v>
      </c>
      <c r="B19" s="8" t="s">
        <v>26</v>
      </c>
      <c r="C19" s="28"/>
      <c r="D19" s="85"/>
      <c r="E19" s="86"/>
    </row>
    <row r="20" spans="1:6" ht="25.5">
      <c r="A20" s="9" t="s">
        <v>21</v>
      </c>
      <c r="B20" s="8" t="s">
        <v>2</v>
      </c>
      <c r="C20" s="22">
        <v>7154</v>
      </c>
      <c r="D20" s="68">
        <v>1788.5</v>
      </c>
      <c r="E20" s="68">
        <v>1788.5</v>
      </c>
    </row>
    <row r="21" spans="1:6">
      <c r="A21" s="12" t="s">
        <v>4</v>
      </c>
      <c r="B21" s="13" t="s">
        <v>3</v>
      </c>
      <c r="C21" s="22">
        <v>6.2060000000000004</v>
      </c>
      <c r="D21" s="73">
        <v>6.2060000000000004</v>
      </c>
      <c r="E21" s="73">
        <v>6.2060000000000004</v>
      </c>
    </row>
    <row r="22" spans="1:6">
      <c r="A22" s="12" t="s">
        <v>25</v>
      </c>
      <c r="B22" s="8" t="s">
        <v>26</v>
      </c>
      <c r="C22" s="22">
        <v>96</v>
      </c>
      <c r="D22" s="86">
        <v>96</v>
      </c>
      <c r="E22" s="86">
        <v>96</v>
      </c>
    </row>
    <row r="23" spans="1:6" ht="39">
      <c r="A23" s="16" t="s">
        <v>24</v>
      </c>
      <c r="B23" s="8" t="s">
        <v>2</v>
      </c>
      <c r="C23" s="22"/>
      <c r="D23" s="68"/>
      <c r="E23" s="68"/>
    </row>
    <row r="24" spans="1:6">
      <c r="A24" s="12" t="s">
        <v>4</v>
      </c>
      <c r="B24" s="13" t="s">
        <v>3</v>
      </c>
      <c r="C24" s="22"/>
      <c r="D24" s="68"/>
      <c r="E24" s="68"/>
    </row>
    <row r="25" spans="1:6">
      <c r="A25" s="12" t="s">
        <v>25</v>
      </c>
      <c r="B25" s="8" t="s">
        <v>26</v>
      </c>
      <c r="C25" s="22"/>
      <c r="D25" s="86"/>
      <c r="E25" s="86"/>
    </row>
    <row r="26" spans="1:6" ht="25.5">
      <c r="A26" s="9" t="s">
        <v>22</v>
      </c>
      <c r="B26" s="8" t="s">
        <v>2</v>
      </c>
      <c r="C26" s="22">
        <v>1614</v>
      </c>
      <c r="D26" s="68">
        <v>403.5</v>
      </c>
      <c r="E26" s="68">
        <v>403.5</v>
      </c>
    </row>
    <row r="27" spans="1:6">
      <c r="A27" s="12" t="s">
        <v>4</v>
      </c>
      <c r="B27" s="13" t="s">
        <v>3</v>
      </c>
      <c r="C27" s="22">
        <v>4</v>
      </c>
      <c r="D27" s="22">
        <v>4</v>
      </c>
      <c r="E27" s="22">
        <v>4</v>
      </c>
    </row>
    <row r="28" spans="1:6">
      <c r="A28" s="12" t="s">
        <v>25</v>
      </c>
      <c r="B28" s="8" t="s">
        <v>26</v>
      </c>
      <c r="C28" s="22">
        <v>33.6</v>
      </c>
      <c r="D28" s="28">
        <v>33.6</v>
      </c>
      <c r="E28" s="17">
        <v>33.6</v>
      </c>
    </row>
    <row r="29" spans="1:6" ht="25.5">
      <c r="A29" s="7" t="s">
        <v>5</v>
      </c>
      <c r="B29" s="8" t="s">
        <v>2</v>
      </c>
      <c r="C29" s="23">
        <v>1025.9000000000001</v>
      </c>
      <c r="D29" s="28">
        <f>(27243+99968+60339)/1000</f>
        <v>187.55</v>
      </c>
      <c r="E29" s="28">
        <f>(27243+99968+60339)/1000</f>
        <v>187.55</v>
      </c>
    </row>
    <row r="30" spans="1:6" ht="36.75">
      <c r="A30" s="14" t="s">
        <v>6</v>
      </c>
      <c r="B30" s="8" t="s">
        <v>2</v>
      </c>
      <c r="C30" s="22">
        <v>12990.7</v>
      </c>
      <c r="D30" s="9">
        <f>38.6+886.89+13.7+37.3+3.2</f>
        <v>979.69</v>
      </c>
      <c r="E30" s="9">
        <f>38.6+886.89+13.7+37.3+3.2</f>
        <v>979.69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f>5.8+8.8+190+3+(14000/1000)</f>
        <v>221.6</v>
      </c>
      <c r="E33" s="9">
        <f>5.8+8.8+190+3+(14000/1000)</f>
        <v>221.6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3" workbookViewId="0">
      <selection activeCell="C16" sqref="C16:E2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44">
        <v>886</v>
      </c>
      <c r="D11" s="44">
        <v>886</v>
      </c>
      <c r="E11" s="44">
        <v>886</v>
      </c>
    </row>
    <row r="12" spans="1:6" ht="25.5">
      <c r="A12" s="12" t="s">
        <v>23</v>
      </c>
      <c r="B12" s="8" t="s">
        <v>2</v>
      </c>
      <c r="C12" s="18">
        <f>C13/C11</f>
        <v>422.34405191873589</v>
      </c>
      <c r="D12" s="18">
        <f>D13/D11</f>
        <v>77.858123431151242</v>
      </c>
      <c r="E12" s="18">
        <f>E13/E11</f>
        <v>77.858123431151242</v>
      </c>
    </row>
    <row r="13" spans="1:6" ht="25.5">
      <c r="A13" s="7" t="s">
        <v>11</v>
      </c>
      <c r="B13" s="8" t="s">
        <v>2</v>
      </c>
      <c r="C13" s="9">
        <f>C15+C29+C30+C31+C32+C33</f>
        <v>374196.83</v>
      </c>
      <c r="D13" s="17">
        <f>D15+D29+D30+D31+D32+D33</f>
        <v>68982.297359999997</v>
      </c>
      <c r="E13" s="9">
        <f>E15+E29+E30+E31+E32+E33</f>
        <v>68982.297359999997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202902.39999999999</v>
      </c>
      <c r="D15" s="23">
        <f>D17+D20+D23+D26</f>
        <v>50725.5</v>
      </c>
      <c r="E15" s="22">
        <f>E17+E20+E23+E26</f>
        <v>50725.5</v>
      </c>
      <c r="F15" s="75"/>
    </row>
    <row r="16" spans="1:6">
      <c r="A16" s="10" t="s">
        <v>1</v>
      </c>
      <c r="B16" s="11"/>
      <c r="C16" s="73"/>
      <c r="D16" s="73"/>
      <c r="E16" s="73"/>
    </row>
    <row r="17" spans="1:6" ht="25.5">
      <c r="A17" s="9" t="s">
        <v>13</v>
      </c>
      <c r="B17" s="8" t="s">
        <v>2</v>
      </c>
      <c r="C17" s="73">
        <v>6068</v>
      </c>
      <c r="D17" s="68">
        <v>1517</v>
      </c>
      <c r="E17" s="68">
        <v>1517</v>
      </c>
    </row>
    <row r="18" spans="1:6">
      <c r="A18" s="12" t="s">
        <v>4</v>
      </c>
      <c r="B18" s="13" t="s">
        <v>3</v>
      </c>
      <c r="C18" s="73">
        <v>6</v>
      </c>
      <c r="D18" s="73">
        <v>6</v>
      </c>
      <c r="E18" s="73">
        <v>6</v>
      </c>
    </row>
    <row r="19" spans="1:6" ht="21.95" customHeight="1">
      <c r="A19" s="12" t="s">
        <v>25</v>
      </c>
      <c r="B19" s="8" t="s">
        <v>26</v>
      </c>
      <c r="C19" s="85">
        <v>84.3</v>
      </c>
      <c r="D19" s="85">
        <v>84.3</v>
      </c>
      <c r="E19" s="86">
        <v>84.3</v>
      </c>
    </row>
    <row r="20" spans="1:6" ht="25.5">
      <c r="A20" s="9" t="s">
        <v>21</v>
      </c>
      <c r="B20" s="8" t="s">
        <v>2</v>
      </c>
      <c r="C20" s="73">
        <v>169622</v>
      </c>
      <c r="D20" s="68">
        <v>42405.4</v>
      </c>
      <c r="E20" s="68">
        <v>42405.4</v>
      </c>
    </row>
    <row r="21" spans="1:6">
      <c r="A21" s="12" t="s">
        <v>4</v>
      </c>
      <c r="B21" s="13" t="s">
        <v>3</v>
      </c>
      <c r="C21" s="73">
        <v>90.72</v>
      </c>
      <c r="D21" s="73">
        <v>90.72</v>
      </c>
      <c r="E21" s="73">
        <v>90.72</v>
      </c>
    </row>
    <row r="22" spans="1:6" ht="21.95" customHeight="1">
      <c r="A22" s="12" t="s">
        <v>25</v>
      </c>
      <c r="B22" s="8" t="s">
        <v>26</v>
      </c>
      <c r="C22" s="73">
        <v>155.80000000000001</v>
      </c>
      <c r="D22" s="85">
        <v>155.80000000000001</v>
      </c>
      <c r="E22" s="86">
        <v>155.80000000000001</v>
      </c>
    </row>
    <row r="23" spans="1:6" ht="39">
      <c r="A23" s="16" t="s">
        <v>24</v>
      </c>
      <c r="B23" s="8" t="s">
        <v>2</v>
      </c>
      <c r="C23" s="73">
        <v>5788.8</v>
      </c>
      <c r="D23" s="68">
        <v>1447.2</v>
      </c>
      <c r="E23" s="68">
        <v>1447.2</v>
      </c>
    </row>
    <row r="24" spans="1:6">
      <c r="A24" s="12" t="s">
        <v>4</v>
      </c>
      <c r="B24" s="13" t="s">
        <v>3</v>
      </c>
      <c r="C24" s="73">
        <v>6</v>
      </c>
      <c r="D24" s="73">
        <v>6</v>
      </c>
      <c r="E24" s="73">
        <v>6</v>
      </c>
    </row>
    <row r="25" spans="1:6" ht="21.95" customHeight="1">
      <c r="A25" s="12" t="s">
        <v>25</v>
      </c>
      <c r="B25" s="8" t="s">
        <v>26</v>
      </c>
      <c r="C25" s="73">
        <v>80.400000000000006</v>
      </c>
      <c r="D25" s="85">
        <v>80.400000000000006</v>
      </c>
      <c r="E25" s="86">
        <v>80.400000000000006</v>
      </c>
    </row>
    <row r="26" spans="1:6" ht="25.5">
      <c r="A26" s="9" t="s">
        <v>22</v>
      </c>
      <c r="B26" s="8" t="s">
        <v>2</v>
      </c>
      <c r="C26" s="68">
        <v>21423.599999999999</v>
      </c>
      <c r="D26" s="68">
        <v>5355.9</v>
      </c>
      <c r="E26" s="68">
        <v>5355.9</v>
      </c>
    </row>
    <row r="27" spans="1:6">
      <c r="A27" s="12" t="s">
        <v>4</v>
      </c>
      <c r="B27" s="13" t="s">
        <v>3</v>
      </c>
      <c r="C27" s="73">
        <v>34</v>
      </c>
      <c r="D27" s="73">
        <v>34</v>
      </c>
      <c r="E27" s="73">
        <v>34</v>
      </c>
    </row>
    <row r="28" spans="1:6" ht="21.95" customHeight="1">
      <c r="A28" s="12" t="s">
        <v>25</v>
      </c>
      <c r="B28" s="8" t="s">
        <v>26</v>
      </c>
      <c r="C28" s="22">
        <v>52.5</v>
      </c>
      <c r="D28" s="28">
        <v>52.5</v>
      </c>
      <c r="E28" s="17">
        <v>52.5</v>
      </c>
    </row>
    <row r="29" spans="1:6" ht="25.5">
      <c r="A29" s="7" t="s">
        <v>5</v>
      </c>
      <c r="B29" s="8" t="s">
        <v>2</v>
      </c>
      <c r="C29" s="41">
        <v>23487.1</v>
      </c>
      <c r="D29" s="41">
        <f t="shared" ref="D29" si="0">(536895+2526251+1230652)/1000</f>
        <v>4293.7979999999998</v>
      </c>
      <c r="E29" s="41">
        <f>(536895+2526251+1230652)/1000</f>
        <v>4293.7979999999998</v>
      </c>
    </row>
    <row r="30" spans="1:6" ht="36.75">
      <c r="A30" s="14" t="s">
        <v>6</v>
      </c>
      <c r="B30" s="8" t="s">
        <v>2</v>
      </c>
      <c r="C30" s="22">
        <v>138237</v>
      </c>
      <c r="D30" s="9">
        <f>569.7+9600.5+191.1+13.7+37.3+12.8</f>
        <v>10425.1</v>
      </c>
      <c r="E30" s="9">
        <f>569.7+9600.5+191.1+13.7+37.3+12.8</f>
        <v>10425.1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>
        <v>72</v>
      </c>
      <c r="D32" s="22">
        <v>20</v>
      </c>
      <c r="E32" s="22">
        <f>20000/1000</f>
        <v>20</v>
      </c>
    </row>
    <row r="33" spans="1:5" ht="52.5">
      <c r="A33" s="14" t="s">
        <v>9</v>
      </c>
      <c r="B33" s="8" t="s">
        <v>2</v>
      </c>
      <c r="C33" s="9">
        <v>9498.33</v>
      </c>
      <c r="D33" s="17">
        <f>71.3+5.8+6.5+8.8+11.8+190+20+900+3+888+((1330500+82199.36)/1000)</f>
        <v>3517.8993599999999</v>
      </c>
      <c r="E33" s="9">
        <f>71.3+5.8+6.5+8.8+11.8+190+20+900+3+888+((1330500+82199.36)/1000)</f>
        <v>3517.8993599999999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3" workbookViewId="0">
      <selection activeCell="D17" sqref="D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6" ht="25.5">
      <c r="A12" s="12" t="s">
        <v>23</v>
      </c>
      <c r="B12" s="8" t="s">
        <v>2</v>
      </c>
      <c r="C12" s="18">
        <f>C13/C11</f>
        <v>2419.8729999999996</v>
      </c>
      <c r="D12" s="18">
        <f>D13/D11</f>
        <v>332.31200000000001</v>
      </c>
      <c r="E12" s="18">
        <f>E13/E11</f>
        <v>332.31200000000001</v>
      </c>
    </row>
    <row r="13" spans="1:6" ht="25.5">
      <c r="A13" s="7" t="s">
        <v>11</v>
      </c>
      <c r="B13" s="8" t="s">
        <v>2</v>
      </c>
      <c r="C13" s="9">
        <f>C15+C29+C30+C31+C32+C33</f>
        <v>16939.110999999997</v>
      </c>
      <c r="D13" s="17">
        <f>D15+D29+D30+D31+D32+D33</f>
        <v>2326.1840000000002</v>
      </c>
      <c r="E13" s="9">
        <f>E15+E29+E30+E31+E32+E33</f>
        <v>2326.1840000000002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4682.8</v>
      </c>
      <c r="D15" s="23">
        <f>D17+D20+D23+D26</f>
        <v>1170.7</v>
      </c>
      <c r="E15" s="22">
        <f>E17+E20+E23+E26</f>
        <v>1170.7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/>
      <c r="D17" s="73"/>
      <c r="E17" s="68"/>
    </row>
    <row r="18" spans="1:6">
      <c r="A18" s="12" t="s">
        <v>4</v>
      </c>
      <c r="B18" s="13" t="s">
        <v>3</v>
      </c>
      <c r="C18" s="22"/>
      <c r="D18" s="73"/>
      <c r="E18" s="68"/>
    </row>
    <row r="19" spans="1:6">
      <c r="A19" s="12" t="s">
        <v>25</v>
      </c>
      <c r="B19" s="8" t="s">
        <v>26</v>
      </c>
      <c r="C19" s="28"/>
      <c r="D19" s="85"/>
      <c r="E19" s="86"/>
    </row>
    <row r="20" spans="1:6" ht="25.5">
      <c r="A20" s="9" t="s">
        <v>21</v>
      </c>
      <c r="B20" s="8" t="s">
        <v>2</v>
      </c>
      <c r="C20" s="22">
        <v>3124.4</v>
      </c>
      <c r="D20" s="68">
        <v>781.1</v>
      </c>
      <c r="E20" s="68">
        <v>781.1</v>
      </c>
    </row>
    <row r="21" spans="1:6">
      <c r="A21" s="12" t="s">
        <v>4</v>
      </c>
      <c r="B21" s="13" t="s">
        <v>3</v>
      </c>
      <c r="C21" s="22">
        <v>2.6111</v>
      </c>
      <c r="D21" s="73">
        <v>2.6111</v>
      </c>
      <c r="E21" s="73">
        <v>2.6111</v>
      </c>
    </row>
    <row r="22" spans="1:6">
      <c r="A22" s="12" t="s">
        <v>25</v>
      </c>
      <c r="B22" s="8" t="s">
        <v>26</v>
      </c>
      <c r="C22" s="22">
        <v>99.7</v>
      </c>
      <c r="D22" s="86">
        <v>99.7</v>
      </c>
      <c r="E22" s="86">
        <v>99.7</v>
      </c>
    </row>
    <row r="23" spans="1:6" ht="39">
      <c r="A23" s="16" t="s">
        <v>24</v>
      </c>
      <c r="B23" s="8" t="s">
        <v>2</v>
      </c>
      <c r="C23" s="22"/>
      <c r="D23" s="68"/>
      <c r="E23" s="68"/>
    </row>
    <row r="24" spans="1:6">
      <c r="A24" s="12" t="s">
        <v>4</v>
      </c>
      <c r="B24" s="13" t="s">
        <v>3</v>
      </c>
      <c r="C24" s="22"/>
      <c r="D24" s="68"/>
      <c r="E24" s="68"/>
    </row>
    <row r="25" spans="1:6">
      <c r="A25" s="12" t="s">
        <v>25</v>
      </c>
      <c r="B25" s="8" t="s">
        <v>26</v>
      </c>
      <c r="C25" s="22"/>
      <c r="D25" s="86"/>
      <c r="E25" s="86"/>
    </row>
    <row r="26" spans="1:6" ht="25.5">
      <c r="A26" s="9" t="s">
        <v>22</v>
      </c>
      <c r="B26" s="8" t="s">
        <v>2</v>
      </c>
      <c r="C26" s="22">
        <v>1558.4</v>
      </c>
      <c r="D26" s="68">
        <v>389.6</v>
      </c>
      <c r="E26" s="68">
        <v>389.6</v>
      </c>
    </row>
    <row r="27" spans="1:6">
      <c r="A27" s="12" t="s">
        <v>4</v>
      </c>
      <c r="B27" s="13" t="s">
        <v>3</v>
      </c>
      <c r="C27" s="22">
        <v>2</v>
      </c>
      <c r="D27" s="22">
        <v>2</v>
      </c>
      <c r="E27" s="22">
        <v>2</v>
      </c>
    </row>
    <row r="28" spans="1:6">
      <c r="A28" s="12" t="s">
        <v>25</v>
      </c>
      <c r="B28" s="8" t="s">
        <v>26</v>
      </c>
      <c r="C28" s="22">
        <v>64.900000000000006</v>
      </c>
      <c r="D28" s="28">
        <v>64.900000000000006</v>
      </c>
      <c r="E28" s="17">
        <v>64.900000000000006</v>
      </c>
    </row>
    <row r="29" spans="1:6" ht="25.5">
      <c r="A29" s="7" t="s">
        <v>5</v>
      </c>
      <c r="B29" s="8" t="s">
        <v>2</v>
      </c>
      <c r="C29" s="23">
        <v>590.89099999999996</v>
      </c>
      <c r="D29" s="41">
        <f>(15674+57515+34835)/1000</f>
        <v>108.024</v>
      </c>
      <c r="E29" s="41">
        <f>(15674+57515+34835)/1000</f>
        <v>108.024</v>
      </c>
    </row>
    <row r="30" spans="1:6" ht="36.75">
      <c r="A30" s="14" t="s">
        <v>6</v>
      </c>
      <c r="B30" s="8" t="s">
        <v>2</v>
      </c>
      <c r="C30" s="22">
        <v>11096.8</v>
      </c>
      <c r="D30" s="9">
        <f>18.5+744.26+33.6+37.3+3.2</f>
        <v>836.86</v>
      </c>
      <c r="E30" s="9">
        <f>18.5+744.26+33.6+37.3+3.2</f>
        <v>836.86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5" workbookViewId="0">
      <selection activeCell="D20" sqref="D20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6" ht="25.5">
      <c r="A12" s="12" t="s">
        <v>23</v>
      </c>
      <c r="B12" s="8" t="s">
        <v>2</v>
      </c>
      <c r="C12" s="18">
        <f>C13/C11</f>
        <v>2004.5026666666665</v>
      </c>
      <c r="D12" s="18">
        <f>D13/D11</f>
        <v>254.84706666666665</v>
      </c>
      <c r="E12" s="18">
        <f>E13/E11</f>
        <v>254.84706666666665</v>
      </c>
    </row>
    <row r="13" spans="1:6" ht="25.5">
      <c r="A13" s="7" t="s">
        <v>11</v>
      </c>
      <c r="B13" s="8" t="s">
        <v>2</v>
      </c>
      <c r="C13" s="9">
        <f>C15+C29+C30+C31+C32+C33</f>
        <v>30067.539999999997</v>
      </c>
      <c r="D13" s="17">
        <f>D15+D29+D30+D31+D32+D33</f>
        <v>3822.7059999999997</v>
      </c>
      <c r="E13" s="9">
        <f>E15+E29+E30+E31+E32+E33</f>
        <v>3822.7059999999997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7133.2</v>
      </c>
      <c r="D15" s="23">
        <f>D17+D20+D23+D26</f>
        <v>1783.3</v>
      </c>
      <c r="E15" s="22">
        <f>E17+E20+E23+E26</f>
        <v>1783.3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5" ht="25.5">
      <c r="A17" s="9" t="s">
        <v>13</v>
      </c>
      <c r="B17" s="8" t="s">
        <v>2</v>
      </c>
      <c r="C17" s="22"/>
      <c r="D17" s="22"/>
      <c r="E17" s="68"/>
    </row>
    <row r="18" spans="1:5">
      <c r="A18" s="12" t="s">
        <v>4</v>
      </c>
      <c r="B18" s="13" t="s">
        <v>3</v>
      </c>
      <c r="C18" s="73"/>
      <c r="D18" s="73"/>
      <c r="E18" s="73"/>
    </row>
    <row r="19" spans="1:5">
      <c r="A19" s="12" t="s">
        <v>25</v>
      </c>
      <c r="B19" s="8" t="s">
        <v>26</v>
      </c>
      <c r="C19" s="28"/>
      <c r="D19" s="28"/>
      <c r="E19" s="45"/>
    </row>
    <row r="20" spans="1:5" ht="25.5">
      <c r="A20" s="9" t="s">
        <v>21</v>
      </c>
      <c r="B20" s="8" t="s">
        <v>2</v>
      </c>
      <c r="C20" s="22">
        <v>4201.2</v>
      </c>
      <c r="D20" s="68">
        <v>1050.3</v>
      </c>
      <c r="E20" s="68">
        <v>1050.3</v>
      </c>
    </row>
    <row r="21" spans="1:5">
      <c r="A21" s="12" t="s">
        <v>4</v>
      </c>
      <c r="B21" s="13" t="s">
        <v>3</v>
      </c>
      <c r="C21" s="22">
        <v>5.7080000000000002</v>
      </c>
      <c r="D21" s="73">
        <v>5.7080000000000002</v>
      </c>
      <c r="E21" s="73">
        <v>5.7080000000000002</v>
      </c>
    </row>
    <row r="22" spans="1:5">
      <c r="A22" s="12" t="s">
        <v>25</v>
      </c>
      <c r="B22" s="8" t="s">
        <v>26</v>
      </c>
      <c r="C22" s="22">
        <v>61.3</v>
      </c>
      <c r="D22" s="86">
        <v>61.3</v>
      </c>
      <c r="E22" s="86">
        <v>61.3</v>
      </c>
    </row>
    <row r="23" spans="1:5" ht="39">
      <c r="A23" s="16" t="s">
        <v>24</v>
      </c>
      <c r="B23" s="8" t="s">
        <v>2</v>
      </c>
      <c r="C23" s="22"/>
      <c r="D23" s="68"/>
      <c r="E23" s="68"/>
    </row>
    <row r="24" spans="1:5">
      <c r="A24" s="12" t="s">
        <v>4</v>
      </c>
      <c r="B24" s="13" t="s">
        <v>3</v>
      </c>
      <c r="C24" s="22"/>
      <c r="D24" s="68"/>
      <c r="E24" s="68"/>
    </row>
    <row r="25" spans="1:5">
      <c r="A25" s="12" t="s">
        <v>25</v>
      </c>
      <c r="B25" s="8" t="s">
        <v>26</v>
      </c>
      <c r="C25" s="22"/>
      <c r="D25" s="86"/>
      <c r="E25" s="86"/>
    </row>
    <row r="26" spans="1:5" ht="25.5">
      <c r="A26" s="9" t="s">
        <v>22</v>
      </c>
      <c r="B26" s="8" t="s">
        <v>2</v>
      </c>
      <c r="C26" s="22">
        <v>2932</v>
      </c>
      <c r="D26" s="68">
        <v>733</v>
      </c>
      <c r="E26" s="68">
        <v>733</v>
      </c>
    </row>
    <row r="27" spans="1:5">
      <c r="A27" s="12" t="s">
        <v>4</v>
      </c>
      <c r="B27" s="13" t="s">
        <v>3</v>
      </c>
      <c r="C27" s="22">
        <v>4.5</v>
      </c>
      <c r="D27" s="22">
        <v>4.5</v>
      </c>
      <c r="E27" s="22">
        <v>4.5</v>
      </c>
    </row>
    <row r="28" spans="1:5">
      <c r="A28" s="12" t="s">
        <v>25</v>
      </c>
      <c r="B28" s="8" t="s">
        <v>26</v>
      </c>
      <c r="C28" s="22">
        <v>54.6</v>
      </c>
      <c r="D28" s="28">
        <v>54.3</v>
      </c>
      <c r="E28" s="17">
        <v>54.3</v>
      </c>
    </row>
    <row r="29" spans="1:5" ht="25.5">
      <c r="A29" s="7" t="s">
        <v>5</v>
      </c>
      <c r="B29" s="8" t="s">
        <v>2</v>
      </c>
      <c r="C29" s="23">
        <v>1323.12</v>
      </c>
      <c r="D29" s="41">
        <f>(31643+132781+77462)/1000</f>
        <v>241.886</v>
      </c>
      <c r="E29" s="41">
        <f>(31643+132781+77462)/1000</f>
        <v>241.886</v>
      </c>
    </row>
    <row r="30" spans="1:5" ht="36.75">
      <c r="A30" s="14" t="s">
        <v>6</v>
      </c>
      <c r="B30" s="8" t="s">
        <v>2</v>
      </c>
      <c r="C30" s="22">
        <v>21042.6</v>
      </c>
      <c r="D30" s="9">
        <f>1517.62+15.1+13.7+37.3+3.2</f>
        <v>1586.9199999999998</v>
      </c>
      <c r="E30" s="9">
        <f>1517.62+15.1+13.7+37.3+3.2</f>
        <v>1586.9199999999998</v>
      </c>
    </row>
    <row r="31" spans="1:5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5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D17" sqref="D17:F2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18</v>
      </c>
      <c r="D11" s="9">
        <v>18</v>
      </c>
      <c r="E11" s="9">
        <v>18</v>
      </c>
    </row>
    <row r="12" spans="1:6" ht="25.5">
      <c r="A12" s="12" t="s">
        <v>23</v>
      </c>
      <c r="B12" s="8" t="s">
        <v>2</v>
      </c>
      <c r="C12" s="18">
        <f>C13/C11</f>
        <v>938.30944444444458</v>
      </c>
      <c r="D12" s="18">
        <f>D13/D11</f>
        <v>222.55133333333336</v>
      </c>
      <c r="E12" s="18">
        <f>E13/E11</f>
        <v>222.55133333333336</v>
      </c>
    </row>
    <row r="13" spans="1:6" ht="25.5">
      <c r="A13" s="7" t="s">
        <v>11</v>
      </c>
      <c r="B13" s="8" t="s">
        <v>2</v>
      </c>
      <c r="C13" s="9">
        <f>C15+C29+C30+C31+C32+C33</f>
        <v>16889.570000000003</v>
      </c>
      <c r="D13" s="17">
        <f>D15+D29+D30+D31+D32+D33</f>
        <v>4005.9240000000004</v>
      </c>
      <c r="E13" s="9">
        <f>E15+E29+E30+E31+E32+E33</f>
        <v>4005.9240000000004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13413.2</v>
      </c>
      <c r="D15" s="23">
        <f>D17+D20+D23+D26</f>
        <v>3353.3</v>
      </c>
      <c r="E15" s="22">
        <f>E17+E20+E23+E26</f>
        <v>3353.3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>
        <v>1796</v>
      </c>
      <c r="D17" s="68">
        <v>449</v>
      </c>
      <c r="E17" s="68">
        <v>449</v>
      </c>
      <c r="F17" s="94"/>
    </row>
    <row r="18" spans="1:6">
      <c r="A18" s="12" t="s">
        <v>4</v>
      </c>
      <c r="B18" s="13" t="s">
        <v>3</v>
      </c>
      <c r="C18" s="22">
        <v>1</v>
      </c>
      <c r="D18" s="73">
        <v>1</v>
      </c>
      <c r="E18" s="73">
        <v>1</v>
      </c>
      <c r="F18" s="94"/>
    </row>
    <row r="19" spans="1:6">
      <c r="A19" s="12" t="s">
        <v>25</v>
      </c>
      <c r="B19" s="8" t="s">
        <v>26</v>
      </c>
      <c r="C19" s="28">
        <v>149.69999999999999</v>
      </c>
      <c r="D19" s="86">
        <v>149.69999999999999</v>
      </c>
      <c r="E19" s="86">
        <v>149.69999999999999</v>
      </c>
      <c r="F19" s="94"/>
    </row>
    <row r="20" spans="1:6" ht="25.5">
      <c r="A20" s="9" t="s">
        <v>21</v>
      </c>
      <c r="B20" s="8" t="s">
        <v>2</v>
      </c>
      <c r="C20" s="22">
        <v>9057.2000000000007</v>
      </c>
      <c r="D20" s="68">
        <v>2264.3000000000002</v>
      </c>
      <c r="E20" s="68">
        <v>2264.3000000000002</v>
      </c>
      <c r="F20" s="94"/>
    </row>
    <row r="21" spans="1:6">
      <c r="A21" s="12" t="s">
        <v>4</v>
      </c>
      <c r="B21" s="13" t="s">
        <v>3</v>
      </c>
      <c r="C21" s="22">
        <v>7.444</v>
      </c>
      <c r="D21" s="73">
        <v>7.444</v>
      </c>
      <c r="E21" s="73">
        <v>7.444</v>
      </c>
      <c r="F21" s="94"/>
    </row>
    <row r="22" spans="1:6">
      <c r="A22" s="12" t="s">
        <v>25</v>
      </c>
      <c r="B22" s="8" t="s">
        <v>26</v>
      </c>
      <c r="C22" s="22">
        <v>101.4</v>
      </c>
      <c r="D22" s="86">
        <v>101.4</v>
      </c>
      <c r="E22" s="86">
        <v>101.4</v>
      </c>
      <c r="F22" s="94"/>
    </row>
    <row r="23" spans="1:6" ht="39">
      <c r="A23" s="16" t="s">
        <v>24</v>
      </c>
      <c r="B23" s="8" t="s">
        <v>2</v>
      </c>
      <c r="C23" s="22"/>
      <c r="D23" s="68"/>
      <c r="E23" s="68"/>
      <c r="F23" s="94"/>
    </row>
    <row r="24" spans="1:6">
      <c r="A24" s="12" t="s">
        <v>4</v>
      </c>
      <c r="B24" s="13" t="s">
        <v>3</v>
      </c>
      <c r="C24" s="22"/>
      <c r="D24" s="68"/>
      <c r="E24" s="68"/>
      <c r="F24" s="94"/>
    </row>
    <row r="25" spans="1:6">
      <c r="A25" s="12" t="s">
        <v>25</v>
      </c>
      <c r="B25" s="8" t="s">
        <v>26</v>
      </c>
      <c r="C25" s="22"/>
      <c r="D25" s="86"/>
      <c r="E25" s="86"/>
      <c r="F25" s="94"/>
    </row>
    <row r="26" spans="1:6" ht="25.5">
      <c r="A26" s="9" t="s">
        <v>22</v>
      </c>
      <c r="B26" s="8" t="s">
        <v>2</v>
      </c>
      <c r="C26" s="22">
        <v>2560</v>
      </c>
      <c r="D26" s="68">
        <v>640</v>
      </c>
      <c r="E26" s="68">
        <v>640</v>
      </c>
      <c r="F26" s="94"/>
    </row>
    <row r="27" spans="1:6">
      <c r="A27" s="12" t="s">
        <v>4</v>
      </c>
      <c r="B27" s="13" t="s">
        <v>3</v>
      </c>
      <c r="C27" s="22">
        <v>5.75</v>
      </c>
      <c r="D27" s="73">
        <v>5.75</v>
      </c>
      <c r="E27" s="73">
        <v>5.75</v>
      </c>
      <c r="F27" s="94"/>
    </row>
    <row r="28" spans="1:6">
      <c r="A28" s="12" t="s">
        <v>25</v>
      </c>
      <c r="B28" s="8" t="s">
        <v>26</v>
      </c>
      <c r="C28" s="22">
        <v>37.1</v>
      </c>
      <c r="D28" s="28">
        <v>37.1</v>
      </c>
      <c r="E28" s="17">
        <v>37.1</v>
      </c>
    </row>
    <row r="29" spans="1:6" ht="25.5">
      <c r="A29" s="7" t="s">
        <v>5</v>
      </c>
      <c r="B29" s="8" t="s">
        <v>2</v>
      </c>
      <c r="C29" s="23">
        <v>1992.28</v>
      </c>
      <c r="D29" s="41">
        <f>(37906+239648+86670)/1000</f>
        <v>364.22399999999999</v>
      </c>
      <c r="E29" s="41">
        <f>(37906+239648+86670)/1000</f>
        <v>364.22399999999999</v>
      </c>
    </row>
    <row r="30" spans="1:6" ht="36.75">
      <c r="A30" s="14" t="s">
        <v>6</v>
      </c>
      <c r="B30" s="8" t="s">
        <v>2</v>
      </c>
      <c r="C30" s="22">
        <v>885.77</v>
      </c>
      <c r="D30" s="9">
        <f>12.6+13.7+37.3+3.2</f>
        <v>66.8</v>
      </c>
      <c r="E30" s="9">
        <f>12.6+13.7+37.3+3.2</f>
        <v>66.8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f>5.8+8.8+190+3+(14000/1000)</f>
        <v>221.6</v>
      </c>
      <c r="E33" s="9">
        <f>5.8+8.8+190+3+(14000/1000)</f>
        <v>221.6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3" workbookViewId="0">
      <selection activeCell="D17" sqref="D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6" ht="25.5">
      <c r="A12" s="12" t="s">
        <v>23</v>
      </c>
      <c r="B12" s="8" t="s">
        <v>2</v>
      </c>
      <c r="C12" s="18">
        <f>C13/C11</f>
        <v>2469.7692307692309</v>
      </c>
      <c r="D12" s="18">
        <f>D13/D11</f>
        <v>320.71676923076927</v>
      </c>
      <c r="E12" s="18">
        <f>E13/E11</f>
        <v>320.79369230769231</v>
      </c>
    </row>
    <row r="13" spans="1:6" ht="25.5">
      <c r="A13" s="7" t="s">
        <v>11</v>
      </c>
      <c r="B13" s="8" t="s">
        <v>2</v>
      </c>
      <c r="C13" s="9">
        <f>C15+C29+C30+C31+C32+C33</f>
        <v>32107</v>
      </c>
      <c r="D13" s="17">
        <f>D15+D29+D30+D31+D32+D33</f>
        <v>4169.3180000000002</v>
      </c>
      <c r="E13" s="9">
        <f>E15+E29+E30+E31+E32+E33</f>
        <v>4170.3180000000002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8349.6</v>
      </c>
      <c r="D15" s="23">
        <f>D17+D20+D23+D26</f>
        <v>2087.4</v>
      </c>
      <c r="E15" s="22">
        <f>E17+E20+E23+E26</f>
        <v>2087.4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/>
      <c r="D17" s="73"/>
      <c r="E17" s="68"/>
    </row>
    <row r="18" spans="1:6">
      <c r="A18" s="12" t="s">
        <v>4</v>
      </c>
      <c r="B18" s="13" t="s">
        <v>3</v>
      </c>
      <c r="C18" s="22"/>
      <c r="D18" s="73"/>
      <c r="E18" s="68"/>
    </row>
    <row r="19" spans="1:6">
      <c r="A19" s="12" t="s">
        <v>25</v>
      </c>
      <c r="B19" s="8" t="s">
        <v>26</v>
      </c>
      <c r="C19" s="28"/>
      <c r="D19" s="85"/>
      <c r="E19" s="86"/>
    </row>
    <row r="20" spans="1:6" ht="25.5">
      <c r="A20" s="9" t="s">
        <v>21</v>
      </c>
      <c r="B20" s="8" t="s">
        <v>2</v>
      </c>
      <c r="C20" s="22">
        <v>6174.8</v>
      </c>
      <c r="D20" s="68">
        <v>1543.7</v>
      </c>
      <c r="E20" s="68">
        <v>1543.7</v>
      </c>
    </row>
    <row r="21" spans="1:6">
      <c r="A21" s="12" t="s">
        <v>4</v>
      </c>
      <c r="B21" s="13" t="s">
        <v>3</v>
      </c>
      <c r="C21" s="22">
        <v>4.8890000000000002</v>
      </c>
      <c r="D21" s="73">
        <v>4.8890000000000002</v>
      </c>
      <c r="E21" s="73">
        <v>4.8890000000000002</v>
      </c>
    </row>
    <row r="22" spans="1:6">
      <c r="A22" s="12" t="s">
        <v>25</v>
      </c>
      <c r="B22" s="8" t="s">
        <v>26</v>
      </c>
      <c r="C22" s="22">
        <v>105.2</v>
      </c>
      <c r="D22" s="86">
        <v>105.2</v>
      </c>
      <c r="E22" s="86">
        <v>105.2</v>
      </c>
    </row>
    <row r="23" spans="1:6" ht="39">
      <c r="A23" s="16" t="s">
        <v>24</v>
      </c>
      <c r="B23" s="8" t="s">
        <v>2</v>
      </c>
      <c r="C23" s="22"/>
      <c r="D23" s="68"/>
      <c r="E23" s="68"/>
    </row>
    <row r="24" spans="1:6">
      <c r="A24" s="12" t="s">
        <v>4</v>
      </c>
      <c r="B24" s="13" t="s">
        <v>3</v>
      </c>
      <c r="C24" s="22"/>
      <c r="D24" s="68"/>
      <c r="E24" s="68"/>
    </row>
    <row r="25" spans="1:6">
      <c r="A25" s="12" t="s">
        <v>25</v>
      </c>
      <c r="B25" s="8" t="s">
        <v>26</v>
      </c>
      <c r="C25" s="22"/>
      <c r="D25" s="86"/>
      <c r="E25" s="86"/>
    </row>
    <row r="26" spans="1:6" ht="25.5">
      <c r="A26" s="9" t="s">
        <v>22</v>
      </c>
      <c r="B26" s="8" t="s">
        <v>2</v>
      </c>
      <c r="C26" s="22">
        <v>2174.8000000000002</v>
      </c>
      <c r="D26" s="68">
        <v>543.70000000000005</v>
      </c>
      <c r="E26" s="68">
        <v>543.70000000000005</v>
      </c>
    </row>
    <row r="27" spans="1:6">
      <c r="A27" s="12" t="s">
        <v>4</v>
      </c>
      <c r="B27" s="13" t="s">
        <v>3</v>
      </c>
      <c r="C27" s="22">
        <v>3.5</v>
      </c>
      <c r="D27" s="22">
        <v>3.5</v>
      </c>
      <c r="E27" s="22">
        <v>3.5</v>
      </c>
    </row>
    <row r="28" spans="1:6">
      <c r="A28" s="12" t="s">
        <v>25</v>
      </c>
      <c r="B28" s="8" t="s">
        <v>26</v>
      </c>
      <c r="C28" s="22">
        <v>51.8</v>
      </c>
      <c r="D28" s="28">
        <v>51.8</v>
      </c>
      <c r="E28" s="17">
        <v>51.8</v>
      </c>
    </row>
    <row r="29" spans="1:6" ht="25.5">
      <c r="A29" s="7" t="s">
        <v>5</v>
      </c>
      <c r="B29" s="8" t="s">
        <v>2</v>
      </c>
      <c r="C29" s="23">
        <v>1090.98</v>
      </c>
      <c r="D29" s="41">
        <f>(26815+112637+59996)/1000</f>
        <v>199.44800000000001</v>
      </c>
      <c r="E29" s="41">
        <f>(26815+112637+59996)/1000</f>
        <v>199.44800000000001</v>
      </c>
    </row>
    <row r="30" spans="1:6" ht="36.75">
      <c r="A30" s="14" t="s">
        <v>6</v>
      </c>
      <c r="B30" s="8" t="s">
        <v>2</v>
      </c>
      <c r="C30" s="22">
        <v>22076.2</v>
      </c>
      <c r="D30" s="9">
        <f>22+1588.67+13.7+37.3+3.2</f>
        <v>1664.8700000000001</v>
      </c>
      <c r="E30" s="9">
        <f>22+1588.67+13.7+37.3+3.2</f>
        <v>1664.8700000000001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-1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590.22</v>
      </c>
      <c r="D33" s="9">
        <f>5.8+8.8+190+3+(11000/1000)</f>
        <v>218.6</v>
      </c>
      <c r="E33" s="9">
        <f>5.8+8.8+190+3+(11000/1000)</f>
        <v>218.6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F20" sqref="F20:F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11</v>
      </c>
      <c r="D11" s="9">
        <v>11</v>
      </c>
      <c r="E11" s="9">
        <v>11</v>
      </c>
    </row>
    <row r="12" spans="1:6" ht="25.5">
      <c r="A12" s="12" t="s">
        <v>23</v>
      </c>
      <c r="B12" s="8" t="s">
        <v>2</v>
      </c>
      <c r="C12" s="18">
        <f>C13/C11</f>
        <v>1325.4236363636364</v>
      </c>
      <c r="D12" s="18">
        <f>D13/D11</f>
        <v>243.16636363636363</v>
      </c>
      <c r="E12" s="18">
        <f>E13/E11</f>
        <v>243.16636363636363</v>
      </c>
    </row>
    <row r="13" spans="1:6" ht="25.5">
      <c r="A13" s="7" t="s">
        <v>11</v>
      </c>
      <c r="B13" s="8" t="s">
        <v>2</v>
      </c>
      <c r="C13" s="9">
        <f>C15+C29+C30+C31+C32+C33</f>
        <v>14579.66</v>
      </c>
      <c r="D13" s="17">
        <f>D15+D29+D30+D31+D32+D33</f>
        <v>2674.83</v>
      </c>
      <c r="E13" s="9">
        <f>E15+E29+E30+E31+E32+E33</f>
        <v>2674.83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7437.5999999999995</v>
      </c>
      <c r="D15" s="23">
        <f>D17+D20+D23+D26</f>
        <v>1859.3999999999999</v>
      </c>
      <c r="E15" s="22">
        <f>E17+E20+E23+E26</f>
        <v>1859.3999999999999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/>
      <c r="D17" s="73"/>
      <c r="E17" s="68"/>
    </row>
    <row r="18" spans="1:6">
      <c r="A18" s="12" t="s">
        <v>4</v>
      </c>
      <c r="B18" s="13" t="s">
        <v>3</v>
      </c>
      <c r="C18" s="22"/>
      <c r="D18" s="73"/>
      <c r="E18" s="68"/>
    </row>
    <row r="19" spans="1:6">
      <c r="A19" s="12" t="s">
        <v>25</v>
      </c>
      <c r="B19" s="8" t="s">
        <v>26</v>
      </c>
      <c r="C19" s="28"/>
      <c r="D19" s="85"/>
      <c r="E19" s="86"/>
    </row>
    <row r="20" spans="1:6" ht="25.5">
      <c r="A20" s="9" t="s">
        <v>21</v>
      </c>
      <c r="B20" s="8" t="s">
        <v>2</v>
      </c>
      <c r="C20" s="22">
        <v>5654.4</v>
      </c>
      <c r="D20" s="68">
        <v>1413.6</v>
      </c>
      <c r="E20" s="68">
        <v>1413.6</v>
      </c>
    </row>
    <row r="21" spans="1:6">
      <c r="A21" s="12" t="s">
        <v>4</v>
      </c>
      <c r="B21" s="13" t="s">
        <v>3</v>
      </c>
      <c r="C21" s="22">
        <v>4</v>
      </c>
      <c r="D21" s="73">
        <v>4</v>
      </c>
      <c r="E21" s="73">
        <v>4</v>
      </c>
    </row>
    <row r="22" spans="1:6">
      <c r="A22" s="12" t="s">
        <v>25</v>
      </c>
      <c r="B22" s="8" t="s">
        <v>26</v>
      </c>
      <c r="C22" s="22">
        <v>117.8</v>
      </c>
      <c r="D22" s="86">
        <v>117.8</v>
      </c>
      <c r="E22" s="86">
        <v>117.8</v>
      </c>
    </row>
    <row r="23" spans="1:6" ht="39">
      <c r="A23" s="16" t="s">
        <v>24</v>
      </c>
      <c r="B23" s="8" t="s">
        <v>2</v>
      </c>
      <c r="C23" s="22"/>
      <c r="D23" s="68"/>
      <c r="E23" s="68"/>
    </row>
    <row r="24" spans="1:6">
      <c r="A24" s="12" t="s">
        <v>4</v>
      </c>
      <c r="B24" s="13" t="s">
        <v>3</v>
      </c>
      <c r="C24" s="22"/>
      <c r="D24" s="68"/>
      <c r="E24" s="68"/>
    </row>
    <row r="25" spans="1:6">
      <c r="A25" s="12" t="s">
        <v>25</v>
      </c>
      <c r="B25" s="8" t="s">
        <v>26</v>
      </c>
      <c r="C25" s="22"/>
      <c r="D25" s="86"/>
      <c r="E25" s="86"/>
    </row>
    <row r="26" spans="1:6" ht="25.5">
      <c r="A26" s="9" t="s">
        <v>22</v>
      </c>
      <c r="B26" s="8" t="s">
        <v>2</v>
      </c>
      <c r="C26" s="22">
        <v>1783.2</v>
      </c>
      <c r="D26" s="68">
        <v>445.8</v>
      </c>
      <c r="E26" s="68">
        <v>445.8</v>
      </c>
    </row>
    <row r="27" spans="1:6">
      <c r="A27" s="12" t="s">
        <v>4</v>
      </c>
      <c r="B27" s="13" t="s">
        <v>3</v>
      </c>
      <c r="C27" s="22">
        <v>2.5</v>
      </c>
      <c r="D27" s="73">
        <v>2.5</v>
      </c>
      <c r="E27" s="73">
        <v>2.5</v>
      </c>
    </row>
    <row r="28" spans="1:6">
      <c r="A28" s="12" t="s">
        <v>25</v>
      </c>
      <c r="B28" s="8" t="s">
        <v>26</v>
      </c>
      <c r="C28" s="22">
        <v>59.4</v>
      </c>
      <c r="D28" s="28">
        <v>59.4</v>
      </c>
      <c r="E28" s="17">
        <v>59.4</v>
      </c>
    </row>
    <row r="29" spans="1:6" ht="25.5">
      <c r="A29" s="7" t="s">
        <v>5</v>
      </c>
      <c r="B29" s="8" t="s">
        <v>2</v>
      </c>
      <c r="C29" s="23">
        <v>1015.78</v>
      </c>
      <c r="D29" s="28">
        <f>(26721+100407+58572)/1000</f>
        <v>185.7</v>
      </c>
      <c r="E29" s="28">
        <f>(26721+100407+58572)/1000</f>
        <v>185.7</v>
      </c>
    </row>
    <row r="30" spans="1:6" ht="36.75">
      <c r="A30" s="14" t="s">
        <v>6</v>
      </c>
      <c r="B30" s="8" t="s">
        <v>2</v>
      </c>
      <c r="C30" s="22">
        <v>5557.66</v>
      </c>
      <c r="D30" s="9">
        <f>8.8+356.13+13.7+37.3+3.2</f>
        <v>419.13</v>
      </c>
      <c r="E30" s="9">
        <f>8.8+356.13+13.7+37.3+3.2</f>
        <v>419.13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C00000"/>
  </sheetPr>
  <dimension ref="A1:F38"/>
  <sheetViews>
    <sheetView topLeftCell="A16" workbookViewId="0">
      <selection activeCell="D17" sqref="D17:E2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6" ht="25.5">
      <c r="A12" s="12" t="s">
        <v>23</v>
      </c>
      <c r="B12" s="8" t="s">
        <v>2</v>
      </c>
      <c r="C12" s="18">
        <f>C13/C11</f>
        <v>2982.2442857142855</v>
      </c>
      <c r="D12" s="18">
        <f>D13/D11</f>
        <v>399.88142857142856</v>
      </c>
      <c r="E12" s="18">
        <f>E13/E11</f>
        <v>399.88142857142856</v>
      </c>
    </row>
    <row r="13" spans="1:6" ht="25.5">
      <c r="A13" s="7" t="s">
        <v>11</v>
      </c>
      <c r="B13" s="8" t="s">
        <v>2</v>
      </c>
      <c r="C13" s="9">
        <f>C15+C29+C30+C31+C32+C33</f>
        <v>20875.71</v>
      </c>
      <c r="D13" s="17">
        <f>D15+D29+D30+D31+D32+D33</f>
        <v>2799.17</v>
      </c>
      <c r="E13" s="9">
        <f>E15+E29+E30+E31+E32+E33</f>
        <v>2799.17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5512.4</v>
      </c>
      <c r="D15" s="23">
        <f>D17+D20+D23+D26</f>
        <v>1378.1</v>
      </c>
      <c r="E15" s="22">
        <f>E17+E20+E23+E26</f>
        <v>1378.1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/>
      <c r="D17" s="73"/>
      <c r="E17" s="68"/>
    </row>
    <row r="18" spans="1:6">
      <c r="A18" s="12" t="s">
        <v>4</v>
      </c>
      <c r="B18" s="13" t="s">
        <v>3</v>
      </c>
      <c r="C18" s="22"/>
      <c r="D18" s="73"/>
      <c r="E18" s="68"/>
    </row>
    <row r="19" spans="1:6">
      <c r="A19" s="12" t="s">
        <v>25</v>
      </c>
      <c r="B19" s="8" t="s">
        <v>26</v>
      </c>
      <c r="C19" s="28"/>
      <c r="D19" s="85"/>
      <c r="E19" s="86"/>
    </row>
    <row r="20" spans="1:6" ht="25.5">
      <c r="A20" s="9" t="s">
        <v>21</v>
      </c>
      <c r="B20" s="8" t="s">
        <v>2</v>
      </c>
      <c r="C20" s="22">
        <v>4080.4</v>
      </c>
      <c r="D20" s="68">
        <v>1020.1</v>
      </c>
      <c r="E20" s="68">
        <v>1020.1</v>
      </c>
    </row>
    <row r="21" spans="1:6">
      <c r="A21" s="12" t="s">
        <v>4</v>
      </c>
      <c r="B21" s="13" t="s">
        <v>3</v>
      </c>
      <c r="C21" s="22">
        <v>2.944</v>
      </c>
      <c r="D21" s="73">
        <v>2.944</v>
      </c>
      <c r="E21" s="73">
        <v>2.944</v>
      </c>
    </row>
    <row r="22" spans="1:6">
      <c r="A22" s="12" t="s">
        <v>25</v>
      </c>
      <c r="B22" s="8" t="s">
        <v>26</v>
      </c>
      <c r="C22" s="22">
        <v>115.5</v>
      </c>
      <c r="D22" s="86">
        <v>115.5</v>
      </c>
      <c r="E22" s="86">
        <v>115.5</v>
      </c>
    </row>
    <row r="23" spans="1:6" ht="39">
      <c r="A23" s="16" t="s">
        <v>24</v>
      </c>
      <c r="B23" s="8" t="s">
        <v>2</v>
      </c>
      <c r="C23" s="22"/>
      <c r="D23" s="68"/>
      <c r="E23" s="68"/>
    </row>
    <row r="24" spans="1:6">
      <c r="A24" s="12" t="s">
        <v>4</v>
      </c>
      <c r="B24" s="13" t="s">
        <v>3</v>
      </c>
      <c r="C24" s="22"/>
      <c r="D24" s="68"/>
      <c r="E24" s="68"/>
    </row>
    <row r="25" spans="1:6">
      <c r="A25" s="12" t="s">
        <v>25</v>
      </c>
      <c r="B25" s="8" t="s">
        <v>26</v>
      </c>
      <c r="C25" s="22"/>
      <c r="D25" s="86"/>
      <c r="E25" s="86"/>
    </row>
    <row r="26" spans="1:6" ht="25.5">
      <c r="A26" s="9" t="s">
        <v>22</v>
      </c>
      <c r="B26" s="8" t="s">
        <v>2</v>
      </c>
      <c r="C26" s="22">
        <v>1432</v>
      </c>
      <c r="D26" s="68">
        <v>358</v>
      </c>
      <c r="E26" s="68">
        <v>358</v>
      </c>
    </row>
    <row r="27" spans="1:6">
      <c r="A27" s="12" t="s">
        <v>4</v>
      </c>
      <c r="B27" s="13" t="s">
        <v>3</v>
      </c>
      <c r="C27" s="22">
        <v>2.5</v>
      </c>
      <c r="D27" s="73">
        <v>2.5</v>
      </c>
      <c r="E27" s="73">
        <v>2.5</v>
      </c>
    </row>
    <row r="28" spans="1:6">
      <c r="A28" s="12" t="s">
        <v>25</v>
      </c>
      <c r="B28" s="8" t="s">
        <v>26</v>
      </c>
      <c r="C28" s="22">
        <v>47.73</v>
      </c>
      <c r="D28" s="28">
        <v>47.73</v>
      </c>
      <c r="E28" s="17">
        <v>47.73</v>
      </c>
    </row>
    <row r="29" spans="1:6" ht="25.5">
      <c r="A29" s="7" t="s">
        <v>5</v>
      </c>
      <c r="B29" s="8" t="s">
        <v>2</v>
      </c>
      <c r="C29" s="41">
        <v>822.69</v>
      </c>
      <c r="D29" s="41">
        <f>(21519+81061+47820)/1000</f>
        <v>150.4</v>
      </c>
      <c r="E29" s="41">
        <f>(21519+81061+47820)/1000</f>
        <v>150.4</v>
      </c>
    </row>
    <row r="30" spans="1:6" ht="36.75">
      <c r="A30" s="14" t="s">
        <v>6</v>
      </c>
      <c r="B30" s="8" t="s">
        <v>2</v>
      </c>
      <c r="C30" s="22">
        <v>13950.4</v>
      </c>
      <c r="D30" s="9">
        <f>39.5+958.37+13.7+37.3+3.2</f>
        <v>1052.0700000000002</v>
      </c>
      <c r="E30" s="9">
        <f>39.5+958.37+13.7+37.3+3.2</f>
        <v>1052.0700000000002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590.22</v>
      </c>
      <c r="D33" s="9">
        <f>5.8+8.8+190+3+(11000/1000)</f>
        <v>218.6</v>
      </c>
      <c r="E33" s="9">
        <f>5.8+8.8+190+3+(11000/1000)</f>
        <v>218.6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38"/>
  <sheetViews>
    <sheetView topLeftCell="A22" workbookViewId="0">
      <selection activeCell="N40" sqref="N4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5" t="s">
        <v>15</v>
      </c>
      <c r="B1" s="95"/>
      <c r="C1" s="95"/>
      <c r="D1" s="95"/>
      <c r="E1" s="95"/>
    </row>
    <row r="2" spans="1:5">
      <c r="A2" s="95" t="s">
        <v>42</v>
      </c>
      <c r="B2" s="95"/>
      <c r="C2" s="95"/>
      <c r="D2" s="95"/>
      <c r="E2" s="95"/>
    </row>
    <row r="3" spans="1:5">
      <c r="A3" s="96" t="s">
        <v>28</v>
      </c>
      <c r="B3" s="96"/>
      <c r="C3" s="96"/>
      <c r="D3" s="96"/>
      <c r="E3" s="96"/>
    </row>
    <row r="4" spans="1:5">
      <c r="A4" s="96"/>
      <c r="B4" s="96"/>
      <c r="C4" s="96"/>
      <c r="D4" s="96"/>
      <c r="E4" s="96"/>
    </row>
    <row r="5" spans="1:5">
      <c r="A5" s="97" t="s">
        <v>16</v>
      </c>
      <c r="B5" s="97"/>
      <c r="C5" s="97"/>
      <c r="D5" s="97"/>
      <c r="E5" s="97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8" t="s">
        <v>27</v>
      </c>
      <c r="B9" s="99" t="s">
        <v>18</v>
      </c>
      <c r="C9" s="98" t="s">
        <v>30</v>
      </c>
      <c r="D9" s="98"/>
      <c r="E9" s="98"/>
    </row>
    <row r="10" spans="1:5" ht="81">
      <c r="A10" s="98"/>
      <c r="B10" s="99"/>
      <c r="C10" s="37" t="s">
        <v>19</v>
      </c>
      <c r="D10" s="78" t="s">
        <v>44</v>
      </c>
      <c r="E10" s="36" t="s">
        <v>14</v>
      </c>
    </row>
    <row r="11" spans="1:5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>
      <c r="A12" s="12" t="s">
        <v>23</v>
      </c>
      <c r="B12" s="8" t="s">
        <v>2</v>
      </c>
      <c r="C12" s="18">
        <f>C13/C11</f>
        <v>7.8267061060638081</v>
      </c>
      <c r="D12" s="18">
        <f>D13/D11</f>
        <v>2.0571625438411156</v>
      </c>
      <c r="E12" s="18">
        <f>E13/E11</f>
        <v>2.0571625438411156</v>
      </c>
    </row>
    <row r="13" spans="1:5" ht="25.5">
      <c r="A13" s="7" t="s">
        <v>11</v>
      </c>
      <c r="B13" s="8" t="s">
        <v>2</v>
      </c>
      <c r="C13" s="9">
        <f>C15+C29+C30+C31+C32+C33</f>
        <v>37043.800000000003</v>
      </c>
      <c r="D13" s="17">
        <f>D15+D29+D30+D31+D32+D33</f>
        <v>9736.5503200000003</v>
      </c>
      <c r="E13" s="9">
        <f>E15+E29+E30+E31+E32+E33</f>
        <v>9736.5503200000003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0</v>
      </c>
      <c r="D15" s="23">
        <f>D17+D20+D23+D26</f>
        <v>0</v>
      </c>
      <c r="E15" s="22">
        <f>E17+E20+E23+E26</f>
        <v>0</v>
      </c>
    </row>
    <row r="16" spans="1:5">
      <c r="A16" s="10" t="s">
        <v>1</v>
      </c>
      <c r="B16" s="11"/>
      <c r="C16" s="22"/>
      <c r="D16" s="22"/>
      <c r="E16" s="9"/>
    </row>
    <row r="17" spans="1:5" ht="25.5">
      <c r="A17" s="9" t="s">
        <v>13</v>
      </c>
      <c r="B17" s="8" t="s">
        <v>2</v>
      </c>
      <c r="C17" s="22"/>
      <c r="D17" s="73"/>
      <c r="E17" s="73"/>
    </row>
    <row r="18" spans="1:5">
      <c r="A18" s="12" t="s">
        <v>4</v>
      </c>
      <c r="B18" s="13" t="s">
        <v>3</v>
      </c>
      <c r="C18" s="22"/>
      <c r="D18" s="73"/>
      <c r="E18" s="73"/>
    </row>
    <row r="19" spans="1:5">
      <c r="A19" s="12" t="s">
        <v>25</v>
      </c>
      <c r="B19" s="8" t="s">
        <v>26</v>
      </c>
      <c r="C19" s="28"/>
      <c r="D19" s="85"/>
      <c r="E19" s="85"/>
    </row>
    <row r="20" spans="1:5" ht="25.5">
      <c r="A20" s="9" t="s">
        <v>21</v>
      </c>
      <c r="B20" s="8" t="s">
        <v>2</v>
      </c>
      <c r="C20" s="22"/>
      <c r="D20" s="73"/>
      <c r="E20" s="73"/>
    </row>
    <row r="21" spans="1:5">
      <c r="A21" s="12" t="s">
        <v>4</v>
      </c>
      <c r="B21" s="13" t="s">
        <v>3</v>
      </c>
      <c r="C21" s="22"/>
      <c r="D21" s="73"/>
      <c r="E21" s="73"/>
    </row>
    <row r="22" spans="1:5">
      <c r="A22" s="12" t="s">
        <v>25</v>
      </c>
      <c r="B22" s="8" t="s">
        <v>26</v>
      </c>
      <c r="C22" s="22"/>
      <c r="D22" s="85"/>
      <c r="E22" s="85"/>
    </row>
    <row r="23" spans="1:5" ht="39">
      <c r="A23" s="16" t="s">
        <v>24</v>
      </c>
      <c r="B23" s="8" t="s">
        <v>2</v>
      </c>
      <c r="C23" s="22"/>
      <c r="D23" s="73"/>
      <c r="E23" s="73"/>
    </row>
    <row r="24" spans="1:5">
      <c r="A24" s="12" t="s">
        <v>4</v>
      </c>
      <c r="B24" s="13" t="s">
        <v>3</v>
      </c>
      <c r="C24" s="22"/>
      <c r="D24" s="73"/>
      <c r="E24" s="73"/>
    </row>
    <row r="25" spans="1:5">
      <c r="A25" s="12" t="s">
        <v>25</v>
      </c>
      <c r="B25" s="8" t="s">
        <v>26</v>
      </c>
      <c r="C25" s="22"/>
      <c r="D25" s="85"/>
      <c r="E25" s="85"/>
    </row>
    <row r="26" spans="1:5" ht="25.5">
      <c r="A26" s="9" t="s">
        <v>22</v>
      </c>
      <c r="B26" s="8" t="s">
        <v>2</v>
      </c>
      <c r="C26" s="22"/>
      <c r="D26" s="73"/>
      <c r="E26" s="73"/>
    </row>
    <row r="27" spans="1:5">
      <c r="A27" s="12" t="s">
        <v>4</v>
      </c>
      <c r="B27" s="13" t="s">
        <v>3</v>
      </c>
      <c r="C27" s="22"/>
      <c r="D27" s="22"/>
      <c r="E27" s="9"/>
    </row>
    <row r="28" spans="1:5">
      <c r="A28" s="12" t="s">
        <v>25</v>
      </c>
      <c r="B28" s="8" t="s">
        <v>26</v>
      </c>
      <c r="C28" s="22"/>
      <c r="D28" s="28"/>
      <c r="E28" s="17"/>
    </row>
    <row r="29" spans="1:5" ht="25.5">
      <c r="A29" s="7" t="s">
        <v>5</v>
      </c>
      <c r="B29" s="8" t="s">
        <v>2</v>
      </c>
      <c r="C29" s="23">
        <v>6317.03</v>
      </c>
      <c r="D29" s="41">
        <f>(200327+535666+418857)/1000</f>
        <v>1154.8499999999999</v>
      </c>
      <c r="E29" s="41">
        <f>(200327+535666+418857)/1000</f>
        <v>1154.8499999999999</v>
      </c>
    </row>
    <row r="30" spans="1:5" ht="36.75">
      <c r="A30" s="14" t="s">
        <v>6</v>
      </c>
      <c r="B30" s="8" t="s">
        <v>2</v>
      </c>
      <c r="C30" s="22">
        <v>8612.3700000000008</v>
      </c>
      <c r="D30" s="9">
        <f>580.2+37.3+32</f>
        <v>649.5</v>
      </c>
      <c r="E30" s="9">
        <f>580.2+37.3+32</f>
        <v>649.5</v>
      </c>
    </row>
    <row r="31" spans="1:5" ht="25.5">
      <c r="A31" s="14" t="s">
        <v>7</v>
      </c>
      <c r="B31" s="8" t="s">
        <v>2</v>
      </c>
      <c r="C31" s="22">
        <v>0</v>
      </c>
      <c r="D31" s="9">
        <v>0</v>
      </c>
      <c r="E31" s="9">
        <v>0</v>
      </c>
    </row>
    <row r="32" spans="1:5" ht="36.75">
      <c r="A32" s="14" t="s">
        <v>8</v>
      </c>
      <c r="B32" s="8" t="s">
        <v>2</v>
      </c>
      <c r="C32" s="22">
        <v>2790</v>
      </c>
      <c r="D32" s="28">
        <f>(99000+100000+39999.68+109999.68+249999.68+100000+39500+36501.28)/1000</f>
        <v>775.0003200000001</v>
      </c>
      <c r="E32" s="22">
        <f>(99000+100000+39999.68+109999.68+249999.68+100000+39500+36501.28)/1000</f>
        <v>775.0003200000001</v>
      </c>
    </row>
    <row r="33" spans="1:5" ht="52.5">
      <c r="A33" s="14" t="s">
        <v>9</v>
      </c>
      <c r="B33" s="8" t="s">
        <v>2</v>
      </c>
      <c r="C33" s="9">
        <v>19324.400000000001</v>
      </c>
      <c r="D33" s="9">
        <f>209.4+90+45.6+37.9+51.8+2207.4+3063.2+220.3+45+40+537+(317600/1000)+292</f>
        <v>7157.2</v>
      </c>
      <c r="E33" s="9">
        <f>209.4+90+45.6+37.9+51.8+2207.4+3063.2+220.3+45+40+537+(317600/1000)+292</f>
        <v>7157.2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20" workbookViewId="0">
      <selection activeCell="D26" sqref="D26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40" t="s">
        <v>19</v>
      </c>
      <c r="D10" s="78" t="s">
        <v>44</v>
      </c>
      <c r="E10" s="39" t="s">
        <v>14</v>
      </c>
    </row>
    <row r="11" spans="1:6">
      <c r="A11" s="7" t="s">
        <v>20</v>
      </c>
      <c r="B11" s="8" t="s">
        <v>10</v>
      </c>
      <c r="C11" s="9"/>
      <c r="D11" s="9"/>
      <c r="E11" s="9"/>
    </row>
    <row r="12" spans="1:6" ht="25.5">
      <c r="A12" s="12" t="s">
        <v>23</v>
      </c>
      <c r="B12" s="8" t="s">
        <v>2</v>
      </c>
      <c r="C12" s="18"/>
      <c r="D12" s="18"/>
      <c r="E12" s="18"/>
    </row>
    <row r="13" spans="1:6" ht="25.5">
      <c r="A13" s="7" t="s">
        <v>11</v>
      </c>
      <c r="B13" s="8" t="s">
        <v>2</v>
      </c>
      <c r="C13" s="9"/>
      <c r="D13" s="17"/>
      <c r="E13" s="9">
        <f>E15+E29+E30+E31+E32+E33</f>
        <v>2353.0729999999999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v>8576.7999999999993</v>
      </c>
      <c r="D15" s="23"/>
      <c r="E15" s="22">
        <f>E17+E20+E23+E26</f>
        <v>2144.1999999999998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5" ht="25.5">
      <c r="A17" s="9" t="s">
        <v>13</v>
      </c>
      <c r="B17" s="8" t="s">
        <v>2</v>
      </c>
      <c r="C17" s="22">
        <v>1848</v>
      </c>
      <c r="D17" s="73">
        <v>462</v>
      </c>
      <c r="E17" s="73">
        <v>462</v>
      </c>
    </row>
    <row r="18" spans="1:5">
      <c r="A18" s="12" t="s">
        <v>4</v>
      </c>
      <c r="B18" s="13" t="s">
        <v>3</v>
      </c>
      <c r="C18" s="22">
        <v>1</v>
      </c>
      <c r="D18" s="73">
        <v>1</v>
      </c>
      <c r="E18" s="73">
        <v>1</v>
      </c>
    </row>
    <row r="19" spans="1:5">
      <c r="A19" s="12" t="s">
        <v>25</v>
      </c>
      <c r="B19" s="8" t="s">
        <v>26</v>
      </c>
      <c r="C19" s="28">
        <v>154</v>
      </c>
      <c r="D19" s="85">
        <v>154</v>
      </c>
      <c r="E19" s="85">
        <v>154</v>
      </c>
    </row>
    <row r="20" spans="1:5" ht="25.5">
      <c r="A20" s="9" t="s">
        <v>21</v>
      </c>
      <c r="B20" s="8" t="s">
        <v>2</v>
      </c>
      <c r="C20" s="22">
        <v>6404.8</v>
      </c>
      <c r="D20" s="73">
        <v>1601.2</v>
      </c>
      <c r="E20" s="73">
        <v>1601.2</v>
      </c>
    </row>
    <row r="21" spans="1:5">
      <c r="A21" s="12" t="s">
        <v>4</v>
      </c>
      <c r="B21" s="13" t="s">
        <v>3</v>
      </c>
      <c r="C21" s="22">
        <v>5.4779999999999998</v>
      </c>
      <c r="D21" s="73">
        <v>5.4779999999999998</v>
      </c>
      <c r="E21" s="73">
        <v>5.4779999999999998</v>
      </c>
    </row>
    <row r="22" spans="1:5">
      <c r="A22" s="12" t="s">
        <v>25</v>
      </c>
      <c r="B22" s="8" t="s">
        <v>26</v>
      </c>
      <c r="C22" s="22">
        <v>97.4</v>
      </c>
      <c r="D22" s="85">
        <v>97.4</v>
      </c>
      <c r="E22" s="85">
        <v>97.4</v>
      </c>
    </row>
    <row r="23" spans="1:5" ht="39">
      <c r="A23" s="16" t="s">
        <v>24</v>
      </c>
      <c r="B23" s="8" t="s">
        <v>2</v>
      </c>
      <c r="C23" s="22"/>
      <c r="D23" s="73"/>
      <c r="E23" s="73"/>
    </row>
    <row r="24" spans="1:5">
      <c r="A24" s="12" t="s">
        <v>4</v>
      </c>
      <c r="B24" s="13" t="s">
        <v>3</v>
      </c>
      <c r="C24" s="22"/>
      <c r="D24" s="9"/>
      <c r="E24" s="9"/>
    </row>
    <row r="25" spans="1:5">
      <c r="A25" s="12" t="s">
        <v>25</v>
      </c>
      <c r="B25" s="8" t="s">
        <v>26</v>
      </c>
      <c r="C25" s="22"/>
      <c r="D25" s="17"/>
      <c r="E25" s="17"/>
    </row>
    <row r="26" spans="1:5" ht="25.5">
      <c r="A26" s="9" t="s">
        <v>22</v>
      </c>
      <c r="B26" s="8" t="s">
        <v>2</v>
      </c>
      <c r="C26" s="22">
        <v>324</v>
      </c>
      <c r="D26" s="73">
        <v>81</v>
      </c>
      <c r="E26" s="73">
        <v>81</v>
      </c>
    </row>
    <row r="27" spans="1:5">
      <c r="A27" s="12" t="s">
        <v>4</v>
      </c>
      <c r="B27" s="13" t="s">
        <v>3</v>
      </c>
      <c r="C27" s="22">
        <v>1.1000000000000001</v>
      </c>
      <c r="D27" s="22">
        <v>1.1000000000000001</v>
      </c>
      <c r="E27" s="22">
        <v>1.1000000000000001</v>
      </c>
    </row>
    <row r="28" spans="1:5">
      <c r="A28" s="12" t="s">
        <v>25</v>
      </c>
      <c r="B28" s="8" t="s">
        <v>26</v>
      </c>
      <c r="C28" s="22">
        <v>24.5</v>
      </c>
      <c r="D28" s="28">
        <v>24.5</v>
      </c>
      <c r="E28" s="17">
        <v>24.5</v>
      </c>
    </row>
    <row r="29" spans="1:5" ht="25.5">
      <c r="A29" s="7" t="s">
        <v>5</v>
      </c>
      <c r="B29" s="8" t="s">
        <v>2</v>
      </c>
      <c r="C29" s="23">
        <v>1142.54</v>
      </c>
      <c r="D29" s="41">
        <f>(29252+115369+64252)/1000</f>
        <v>208.87299999999999</v>
      </c>
      <c r="E29" s="41">
        <f>(29252+115369+64252)/1000</f>
        <v>208.87299999999999</v>
      </c>
    </row>
    <row r="30" spans="1:5" ht="36.75">
      <c r="A30" s="14" t="s">
        <v>6</v>
      </c>
      <c r="B30" s="8" t="s">
        <v>2</v>
      </c>
      <c r="C30" s="22"/>
      <c r="D30" s="22"/>
      <c r="E30" s="9"/>
    </row>
    <row r="31" spans="1:5" ht="25.5">
      <c r="A31" s="14" t="s">
        <v>7</v>
      </c>
      <c r="B31" s="8" t="s">
        <v>2</v>
      </c>
      <c r="C31" s="22"/>
      <c r="D31" s="22"/>
      <c r="E31" s="9"/>
    </row>
    <row r="32" spans="1:5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/>
      <c r="D33" s="9"/>
      <c r="E33" s="9"/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workbookViewId="0">
      <selection activeCell="C17" sqref="C17:E2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5" width="12" style="2" customWidth="1"/>
    <col min="6" max="6" width="14" style="2" customWidth="1"/>
    <col min="7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44">
        <v>568</v>
      </c>
      <c r="D11" s="44">
        <v>568</v>
      </c>
      <c r="E11" s="44">
        <v>568</v>
      </c>
    </row>
    <row r="12" spans="1:6" ht="25.5">
      <c r="A12" s="12" t="s">
        <v>23</v>
      </c>
      <c r="B12" s="8" t="s">
        <v>2</v>
      </c>
      <c r="C12" s="18">
        <f>C13/C11</f>
        <v>460.52847887323946</v>
      </c>
      <c r="D12" s="18">
        <f>D13/D11</f>
        <v>73.886718309859148</v>
      </c>
      <c r="E12" s="18">
        <f>E13/E11</f>
        <v>73.886718309859148</v>
      </c>
    </row>
    <row r="13" spans="1:6" ht="25.5">
      <c r="A13" s="7" t="s">
        <v>11</v>
      </c>
      <c r="B13" s="8" t="s">
        <v>2</v>
      </c>
      <c r="C13" s="9">
        <f>C15+C29+C30+C31+C32+C33</f>
        <v>261580.17600000001</v>
      </c>
      <c r="D13" s="17">
        <f>D15+D29+D30+D31+D32+D33</f>
        <v>41967.655999999995</v>
      </c>
      <c r="E13" s="9">
        <f>E15+E29+E30+E31+E32+E33</f>
        <v>41967.655999999995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116853.20000000001</v>
      </c>
      <c r="D15" s="23">
        <f>D17+D20+D23+D26</f>
        <v>29213.196</v>
      </c>
      <c r="E15" s="22">
        <f>E17+E20+E23+E26</f>
        <v>29213.196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5855.6</v>
      </c>
      <c r="D17" s="68">
        <v>1463.796</v>
      </c>
      <c r="E17" s="68">
        <v>1463.796</v>
      </c>
    </row>
    <row r="18" spans="1:6">
      <c r="A18" s="12" t="s">
        <v>4</v>
      </c>
      <c r="B18" s="13" t="s">
        <v>3</v>
      </c>
      <c r="C18" s="73">
        <v>7</v>
      </c>
      <c r="D18" s="73">
        <v>7</v>
      </c>
      <c r="E18" s="73">
        <v>7</v>
      </c>
    </row>
    <row r="19" spans="1:6" ht="21.95" customHeight="1">
      <c r="A19" s="12" t="s">
        <v>25</v>
      </c>
      <c r="B19" s="8" t="s">
        <v>26</v>
      </c>
      <c r="C19" s="85">
        <f>C17/C18/12</f>
        <v>69.709523809523816</v>
      </c>
      <c r="D19" s="85">
        <v>69.7</v>
      </c>
      <c r="E19" s="85">
        <v>69.7</v>
      </c>
    </row>
    <row r="20" spans="1:6" ht="25.5">
      <c r="A20" s="9" t="s">
        <v>21</v>
      </c>
      <c r="B20" s="8" t="s">
        <v>2</v>
      </c>
      <c r="C20" s="68">
        <v>85837.6</v>
      </c>
      <c r="D20" s="68">
        <v>21459.4</v>
      </c>
      <c r="E20" s="68">
        <v>21459.4</v>
      </c>
    </row>
    <row r="21" spans="1:6">
      <c r="A21" s="12" t="s">
        <v>4</v>
      </c>
      <c r="B21" s="13" t="s">
        <v>3</v>
      </c>
      <c r="C21" s="73">
        <v>66.22</v>
      </c>
      <c r="D21" s="73">
        <v>66.22</v>
      </c>
      <c r="E21" s="73">
        <v>66.22</v>
      </c>
    </row>
    <row r="22" spans="1:6" ht="21.95" customHeight="1">
      <c r="A22" s="12" t="s">
        <v>25</v>
      </c>
      <c r="B22" s="8" t="s">
        <v>26</v>
      </c>
      <c r="C22" s="73">
        <v>108</v>
      </c>
      <c r="D22" s="85">
        <v>108</v>
      </c>
      <c r="E22" s="86">
        <v>108</v>
      </c>
    </row>
    <row r="23" spans="1:6" ht="39">
      <c r="A23" s="16" t="s">
        <v>24</v>
      </c>
      <c r="B23" s="8" t="s">
        <v>2</v>
      </c>
      <c r="C23" s="68">
        <v>4719.2</v>
      </c>
      <c r="D23" s="68">
        <v>1179.8</v>
      </c>
      <c r="E23" s="68">
        <v>1179.8</v>
      </c>
    </row>
    <row r="24" spans="1:6">
      <c r="A24" s="12" t="s">
        <v>4</v>
      </c>
      <c r="B24" s="13" t="s">
        <v>3</v>
      </c>
      <c r="C24" s="73">
        <v>6.5</v>
      </c>
      <c r="D24" s="73">
        <v>6.5</v>
      </c>
      <c r="E24" s="73">
        <v>6.5</v>
      </c>
    </row>
    <row r="25" spans="1:6" ht="21.95" customHeight="1">
      <c r="A25" s="12" t="s">
        <v>25</v>
      </c>
      <c r="B25" s="8" t="s">
        <v>26</v>
      </c>
      <c r="C25" s="73">
        <v>60.5</v>
      </c>
      <c r="D25" s="85">
        <v>60.5</v>
      </c>
      <c r="E25" s="86">
        <v>60.5</v>
      </c>
    </row>
    <row r="26" spans="1:6" ht="25.5">
      <c r="A26" s="9" t="s">
        <v>22</v>
      </c>
      <c r="B26" s="8" t="s">
        <v>2</v>
      </c>
      <c r="C26" s="68">
        <v>20440.8</v>
      </c>
      <c r="D26" s="68">
        <v>5110.2</v>
      </c>
      <c r="E26" s="68">
        <v>5110.2</v>
      </c>
    </row>
    <row r="27" spans="1:6">
      <c r="A27" s="12" t="s">
        <v>4</v>
      </c>
      <c r="B27" s="13" t="s">
        <v>3</v>
      </c>
      <c r="C27" s="73">
        <v>34</v>
      </c>
      <c r="D27" s="73">
        <v>34</v>
      </c>
      <c r="E27" s="73">
        <v>34</v>
      </c>
    </row>
    <row r="28" spans="1:6" ht="21.95" customHeight="1">
      <c r="A28" s="12" t="s">
        <v>25</v>
      </c>
      <c r="B28" s="8" t="s">
        <v>26</v>
      </c>
      <c r="C28" s="22">
        <v>50.1</v>
      </c>
      <c r="D28" s="28">
        <v>50.1</v>
      </c>
      <c r="E28" s="17">
        <v>50.1</v>
      </c>
    </row>
    <row r="29" spans="1:6" ht="25.5">
      <c r="A29" s="7" t="s">
        <v>5</v>
      </c>
      <c r="B29" s="8" t="s">
        <v>2</v>
      </c>
      <c r="C29" s="41">
        <f>D29*5.47</f>
        <v>14242.786</v>
      </c>
      <c r="D29" s="41">
        <f t="shared" ref="D29" si="0">(429017+1264063+910720)/1000</f>
        <v>2603.8000000000002</v>
      </c>
      <c r="E29" s="41">
        <f>(429017+1264063+910720)/1000</f>
        <v>2603.8000000000002</v>
      </c>
    </row>
    <row r="30" spans="1:6" ht="36.75">
      <c r="A30" s="14" t="s">
        <v>6</v>
      </c>
      <c r="B30" s="8" t="s">
        <v>2</v>
      </c>
      <c r="C30" s="22">
        <v>129351</v>
      </c>
      <c r="D30" s="9">
        <f>791.7+8816.26+13.7+37.3+96</f>
        <v>9754.9600000000009</v>
      </c>
      <c r="E30" s="9">
        <f>791.7+8816.26+13.7+37.3+96</f>
        <v>9754.9600000000009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>
        <v>259.2</v>
      </c>
      <c r="D32" s="22">
        <f>(40000+32000)/1000</f>
        <v>72</v>
      </c>
      <c r="E32" s="22">
        <f>(40000+32000)/1000</f>
        <v>72</v>
      </c>
    </row>
    <row r="33" spans="1:5" ht="52.5">
      <c r="A33" s="14" t="s">
        <v>9</v>
      </c>
      <c r="B33" s="8" t="s">
        <v>2</v>
      </c>
      <c r="C33" s="9">
        <v>873.99</v>
      </c>
      <c r="D33" s="9">
        <f>71.3+5.8+6.5+8.8+11.8+190+3+(26500/1000)</f>
        <v>323.7</v>
      </c>
      <c r="E33" s="9">
        <f>71.3+5.8+6.5+8.8+11.8+190+3+(26500/1000)</f>
        <v>323.7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7" workbookViewId="0">
      <selection activeCell="C32" sqref="C32:E32"/>
    </sheetView>
  </sheetViews>
  <sheetFormatPr defaultRowHeight="20.25"/>
  <cols>
    <col min="1" max="1" width="69.42578125" style="46" customWidth="1"/>
    <col min="2" max="2" width="9.140625" style="48"/>
    <col min="3" max="3" width="12" style="46" customWidth="1"/>
    <col min="4" max="4" width="17.140625" style="46" customWidth="1"/>
    <col min="5" max="7" width="12" style="46" customWidth="1"/>
    <col min="8" max="8" width="9.140625" style="46"/>
    <col min="9" max="9" width="9.85546875" style="46" bestFit="1" customWidth="1"/>
    <col min="10" max="16384" width="9.140625" style="46"/>
  </cols>
  <sheetData>
    <row r="1" spans="1:6">
      <c r="A1" s="102" t="s">
        <v>15</v>
      </c>
      <c r="B1" s="102"/>
      <c r="C1" s="102"/>
      <c r="D1" s="102"/>
      <c r="E1" s="102"/>
    </row>
    <row r="2" spans="1:6">
      <c r="A2" s="102" t="s">
        <v>42</v>
      </c>
      <c r="B2" s="102"/>
      <c r="C2" s="102"/>
      <c r="D2" s="102"/>
      <c r="E2" s="102"/>
    </row>
    <row r="3" spans="1:6">
      <c r="A3" s="103" t="s">
        <v>33</v>
      </c>
      <c r="B3" s="103"/>
      <c r="C3" s="103"/>
      <c r="D3" s="103"/>
      <c r="E3" s="103"/>
    </row>
    <row r="4" spans="1:6">
      <c r="A4" s="103"/>
      <c r="B4" s="103"/>
      <c r="C4" s="103"/>
      <c r="D4" s="103"/>
      <c r="E4" s="103"/>
    </row>
    <row r="5" spans="1:6">
      <c r="A5" s="104" t="s">
        <v>16</v>
      </c>
      <c r="B5" s="104"/>
      <c r="C5" s="104"/>
      <c r="D5" s="104"/>
      <c r="E5" s="104"/>
    </row>
    <row r="6" spans="1:6">
      <c r="A6" s="47"/>
    </row>
    <row r="7" spans="1:6">
      <c r="A7" s="49" t="s">
        <v>17</v>
      </c>
    </row>
    <row r="8" spans="1:6">
      <c r="A8" s="50"/>
    </row>
    <row r="9" spans="1:6" ht="20.25" customHeight="1">
      <c r="A9" s="100" t="s">
        <v>27</v>
      </c>
      <c r="B9" s="101" t="s">
        <v>18</v>
      </c>
      <c r="C9" s="100" t="s">
        <v>30</v>
      </c>
      <c r="D9" s="100"/>
      <c r="E9" s="100"/>
    </row>
    <row r="10" spans="1:6" ht="81">
      <c r="A10" s="100"/>
      <c r="B10" s="101"/>
      <c r="C10" s="51" t="s">
        <v>19</v>
      </c>
      <c r="D10" s="78" t="s">
        <v>44</v>
      </c>
      <c r="E10" s="52" t="s">
        <v>14</v>
      </c>
    </row>
    <row r="11" spans="1:6">
      <c r="A11" s="53" t="s">
        <v>20</v>
      </c>
      <c r="B11" s="54" t="s">
        <v>10</v>
      </c>
      <c r="C11" s="55">
        <v>291</v>
      </c>
      <c r="D11" s="55">
        <v>291</v>
      </c>
      <c r="E11" s="55">
        <v>291</v>
      </c>
    </row>
    <row r="12" spans="1:6" ht="25.5">
      <c r="A12" s="56" t="s">
        <v>23</v>
      </c>
      <c r="B12" s="54" t="s">
        <v>2</v>
      </c>
      <c r="C12" s="57">
        <f>C13/C11</f>
        <v>589.00549828178691</v>
      </c>
      <c r="D12" s="57">
        <f>D13/D11</f>
        <v>136.17182130584192</v>
      </c>
      <c r="E12" s="57">
        <f>E13/E11</f>
        <v>136.17182130584192</v>
      </c>
    </row>
    <row r="13" spans="1:6" ht="25.5">
      <c r="A13" s="53" t="s">
        <v>11</v>
      </c>
      <c r="B13" s="54" t="s">
        <v>2</v>
      </c>
      <c r="C13" s="55">
        <f>C15+C29+C30+C31+C32+C33</f>
        <v>171400.6</v>
      </c>
      <c r="D13" s="58">
        <f>D15+D29+D30+D31+D32+D33</f>
        <v>39626</v>
      </c>
      <c r="E13" s="55">
        <f>E15+E29+E30+E31+E32+E33</f>
        <v>39626</v>
      </c>
    </row>
    <row r="14" spans="1:6">
      <c r="A14" s="59" t="s">
        <v>0</v>
      </c>
      <c r="B14" s="60"/>
      <c r="C14" s="55"/>
      <c r="D14" s="55"/>
      <c r="E14" s="55"/>
    </row>
    <row r="15" spans="1:6" ht="25.5">
      <c r="A15" s="53" t="s">
        <v>12</v>
      </c>
      <c r="B15" s="54" t="s">
        <v>2</v>
      </c>
      <c r="C15" s="87">
        <f>C17+C20+C23+C26</f>
        <v>110489.60000000001</v>
      </c>
      <c r="D15" s="88">
        <f>D17+D20+D23+D26</f>
        <v>27615.1</v>
      </c>
      <c r="E15" s="87">
        <f>E17+E20+E23+E26</f>
        <v>27615.1</v>
      </c>
      <c r="F15" s="76"/>
    </row>
    <row r="16" spans="1:6">
      <c r="A16" s="59" t="s">
        <v>1</v>
      </c>
      <c r="B16" s="60"/>
      <c r="C16" s="87"/>
      <c r="D16" s="87"/>
      <c r="E16" s="87"/>
    </row>
    <row r="17" spans="1:5" ht="25.5">
      <c r="A17" s="44" t="s">
        <v>13</v>
      </c>
      <c r="B17" s="54" t="s">
        <v>2</v>
      </c>
      <c r="C17" s="87">
        <v>10500</v>
      </c>
      <c r="D17" s="87">
        <v>2625</v>
      </c>
      <c r="E17" s="87">
        <v>2625</v>
      </c>
    </row>
    <row r="18" spans="1:5">
      <c r="A18" s="56" t="s">
        <v>4</v>
      </c>
      <c r="B18" s="61" t="s">
        <v>3</v>
      </c>
      <c r="C18" s="87">
        <v>7</v>
      </c>
      <c r="D18" s="87">
        <v>7</v>
      </c>
      <c r="E18" s="87">
        <v>7</v>
      </c>
    </row>
    <row r="19" spans="1:5" ht="21.95" customHeight="1">
      <c r="A19" s="56" t="s">
        <v>25</v>
      </c>
      <c r="B19" s="54" t="s">
        <v>26</v>
      </c>
      <c r="C19" s="89">
        <v>125</v>
      </c>
      <c r="D19" s="89">
        <v>125</v>
      </c>
      <c r="E19" s="89">
        <v>125</v>
      </c>
    </row>
    <row r="20" spans="1:5" ht="25.5">
      <c r="A20" s="44" t="s">
        <v>21</v>
      </c>
      <c r="B20" s="54" t="s">
        <v>2</v>
      </c>
      <c r="C20" s="87">
        <v>68650.600000000006</v>
      </c>
      <c r="D20" s="87">
        <v>17156.099999999999</v>
      </c>
      <c r="E20" s="87">
        <v>17156.099999999999</v>
      </c>
    </row>
    <row r="21" spans="1:5">
      <c r="A21" s="56" t="s">
        <v>4</v>
      </c>
      <c r="B21" s="61" t="s">
        <v>3</v>
      </c>
      <c r="C21" s="87">
        <v>48.3</v>
      </c>
      <c r="D21" s="87">
        <v>48.3</v>
      </c>
      <c r="E21" s="87">
        <v>48.3</v>
      </c>
    </row>
    <row r="22" spans="1:5" ht="21.95" customHeight="1">
      <c r="A22" s="56" t="s">
        <v>25</v>
      </c>
      <c r="B22" s="54" t="s">
        <v>26</v>
      </c>
      <c r="C22" s="87">
        <v>118.4</v>
      </c>
      <c r="D22" s="89">
        <v>118.4</v>
      </c>
      <c r="E22" s="89">
        <v>118.4</v>
      </c>
    </row>
    <row r="23" spans="1:5" ht="39">
      <c r="A23" s="62" t="s">
        <v>34</v>
      </c>
      <c r="B23" s="54" t="s">
        <v>2</v>
      </c>
      <c r="C23" s="87">
        <v>3619</v>
      </c>
      <c r="D23" s="87">
        <v>904</v>
      </c>
      <c r="E23" s="87">
        <v>904</v>
      </c>
    </row>
    <row r="24" spans="1:5">
      <c r="A24" s="56" t="s">
        <v>4</v>
      </c>
      <c r="B24" s="61" t="s">
        <v>3</v>
      </c>
      <c r="C24" s="87">
        <v>4</v>
      </c>
      <c r="D24" s="87">
        <v>4</v>
      </c>
      <c r="E24" s="87">
        <v>4</v>
      </c>
    </row>
    <row r="25" spans="1:5" ht="21.95" customHeight="1">
      <c r="A25" s="56" t="s">
        <v>25</v>
      </c>
      <c r="B25" s="54" t="s">
        <v>26</v>
      </c>
      <c r="C25" s="87">
        <v>75.400000000000006</v>
      </c>
      <c r="D25" s="89">
        <v>75.400000000000006</v>
      </c>
      <c r="E25" s="89">
        <v>75.400000000000006</v>
      </c>
    </row>
    <row r="26" spans="1:5" ht="25.5">
      <c r="A26" s="44" t="s">
        <v>22</v>
      </c>
      <c r="B26" s="54" t="s">
        <v>2</v>
      </c>
      <c r="C26" s="87">
        <v>27720</v>
      </c>
      <c r="D26" s="87">
        <v>6930</v>
      </c>
      <c r="E26" s="87">
        <v>6930</v>
      </c>
    </row>
    <row r="27" spans="1:5">
      <c r="A27" s="56" t="s">
        <v>4</v>
      </c>
      <c r="B27" s="61" t="s">
        <v>3</v>
      </c>
      <c r="C27" s="87">
        <v>44</v>
      </c>
      <c r="D27" s="87">
        <v>44</v>
      </c>
      <c r="E27" s="87">
        <v>44</v>
      </c>
    </row>
    <row r="28" spans="1:5" ht="21.95" customHeight="1">
      <c r="A28" s="56" t="s">
        <v>25</v>
      </c>
      <c r="B28" s="54" t="s">
        <v>26</v>
      </c>
      <c r="C28" s="87">
        <v>52.5</v>
      </c>
      <c r="D28" s="89">
        <v>52.5</v>
      </c>
      <c r="E28" s="89">
        <v>52.5</v>
      </c>
    </row>
    <row r="29" spans="1:5" ht="25.5">
      <c r="A29" s="53" t="s">
        <v>5</v>
      </c>
      <c r="B29" s="54" t="s">
        <v>2</v>
      </c>
      <c r="C29" s="88">
        <v>17023</v>
      </c>
      <c r="D29" s="88">
        <v>3112</v>
      </c>
      <c r="E29" s="88">
        <v>3112</v>
      </c>
    </row>
    <row r="30" spans="1:5" ht="36.75">
      <c r="A30" s="63" t="s">
        <v>35</v>
      </c>
      <c r="B30" s="54" t="s">
        <v>2</v>
      </c>
      <c r="C30" s="55">
        <v>21044</v>
      </c>
      <c r="D30" s="55">
        <v>1587</v>
      </c>
      <c r="E30" s="55">
        <v>1587</v>
      </c>
    </row>
    <row r="31" spans="1:5" ht="25.5">
      <c r="A31" s="63" t="s">
        <v>7</v>
      </c>
      <c r="B31" s="54" t="s">
        <v>2</v>
      </c>
      <c r="C31" s="55">
        <v>0</v>
      </c>
      <c r="D31" s="55">
        <v>0</v>
      </c>
      <c r="E31" s="55">
        <v>0</v>
      </c>
    </row>
    <row r="32" spans="1:5" ht="36.75">
      <c r="A32" s="63" t="s">
        <v>36</v>
      </c>
      <c r="B32" s="54" t="s">
        <v>2</v>
      </c>
      <c r="C32" s="87">
        <v>11297</v>
      </c>
      <c r="D32" s="87">
        <v>3091.9</v>
      </c>
      <c r="E32" s="87">
        <v>3091.9</v>
      </c>
    </row>
    <row r="33" spans="1:5" ht="52.5">
      <c r="A33" s="63" t="s">
        <v>37</v>
      </c>
      <c r="B33" s="54" t="s">
        <v>2</v>
      </c>
      <c r="C33" s="55">
        <v>11547</v>
      </c>
      <c r="D33" s="55">
        <v>4220</v>
      </c>
      <c r="E33" s="55">
        <v>4220</v>
      </c>
    </row>
    <row r="35" spans="1:5">
      <c r="A35" s="50" t="s">
        <v>38</v>
      </c>
    </row>
    <row r="37" spans="1:5">
      <c r="A37" s="64" t="s">
        <v>39</v>
      </c>
    </row>
    <row r="38" spans="1:5">
      <c r="A38" s="64" t="s">
        <v>40</v>
      </c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2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611</v>
      </c>
      <c r="D11" s="9">
        <v>611</v>
      </c>
      <c r="E11" s="9">
        <v>611</v>
      </c>
    </row>
    <row r="12" spans="1:6" ht="25.5">
      <c r="A12" s="12" t="s">
        <v>23</v>
      </c>
      <c r="B12" s="8" t="s">
        <v>2</v>
      </c>
      <c r="C12" s="18">
        <f>C13/C11</f>
        <v>464.65809958756137</v>
      </c>
      <c r="D12" s="18">
        <f>D13/D11</f>
        <v>77.216498657937805</v>
      </c>
      <c r="E12" s="18">
        <f>E13/E11</f>
        <v>77.216498657937805</v>
      </c>
    </row>
    <row r="13" spans="1:6" ht="25.5">
      <c r="A13" s="7" t="s">
        <v>11</v>
      </c>
      <c r="B13" s="8" t="s">
        <v>2</v>
      </c>
      <c r="C13" s="9">
        <f>C15+C29+C30+C31+C32+C33</f>
        <v>283906.09884799999</v>
      </c>
      <c r="D13" s="17">
        <f>D15+D29+D30+D31+D32+D33</f>
        <v>47179.280679999996</v>
      </c>
      <c r="E13" s="9">
        <f>E15+E29+E30+E31+E32+E33</f>
        <v>47179.280679999996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133550.79999999999</v>
      </c>
      <c r="D15" s="23">
        <f>D17+D20+D23+D26</f>
        <v>33387.699999999997</v>
      </c>
      <c r="E15" s="22">
        <f>E17+E20+E23+E26</f>
        <v>33387.699999999997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6222.4</v>
      </c>
      <c r="D17" s="68">
        <v>1555.6</v>
      </c>
      <c r="E17" s="68">
        <v>1555.6</v>
      </c>
    </row>
    <row r="18" spans="1:6">
      <c r="A18" s="12" t="s">
        <v>4</v>
      </c>
      <c r="B18" s="13" t="s">
        <v>3</v>
      </c>
      <c r="C18" s="73">
        <v>6.3</v>
      </c>
      <c r="D18" s="73">
        <v>6.3</v>
      </c>
      <c r="E18" s="73">
        <v>6.3</v>
      </c>
    </row>
    <row r="19" spans="1:6" ht="21.95" customHeight="1">
      <c r="A19" s="12" t="s">
        <v>25</v>
      </c>
      <c r="B19" s="8" t="s">
        <v>26</v>
      </c>
      <c r="C19" s="85">
        <v>82.3</v>
      </c>
      <c r="D19" s="85">
        <v>82.3</v>
      </c>
      <c r="E19" s="86">
        <v>82.3</v>
      </c>
    </row>
    <row r="20" spans="1:6" ht="25.5">
      <c r="A20" s="9" t="s">
        <v>21</v>
      </c>
      <c r="B20" s="8" t="s">
        <v>2</v>
      </c>
      <c r="C20" s="68">
        <v>104190</v>
      </c>
      <c r="D20" s="68">
        <v>26047.5</v>
      </c>
      <c r="E20" s="68">
        <v>26047.5</v>
      </c>
    </row>
    <row r="21" spans="1:6">
      <c r="A21" s="12" t="s">
        <v>4</v>
      </c>
      <c r="B21" s="13" t="s">
        <v>3</v>
      </c>
      <c r="C21" s="73">
        <v>74.28</v>
      </c>
      <c r="D21" s="73">
        <v>74.28</v>
      </c>
      <c r="E21" s="73">
        <v>74.28</v>
      </c>
    </row>
    <row r="22" spans="1:6" ht="21.95" customHeight="1">
      <c r="A22" s="12" t="s">
        <v>25</v>
      </c>
      <c r="B22" s="8" t="s">
        <v>26</v>
      </c>
      <c r="C22" s="73">
        <v>116.9</v>
      </c>
      <c r="D22" s="85">
        <v>116.9</v>
      </c>
      <c r="E22" s="86">
        <v>116.9</v>
      </c>
    </row>
    <row r="23" spans="1:6" ht="39">
      <c r="A23" s="16" t="s">
        <v>24</v>
      </c>
      <c r="B23" s="8" t="s">
        <v>2</v>
      </c>
      <c r="C23" s="68">
        <v>2611.6</v>
      </c>
      <c r="D23" s="68">
        <v>652.9</v>
      </c>
      <c r="E23" s="68">
        <v>652.9</v>
      </c>
    </row>
    <row r="24" spans="1:6">
      <c r="A24" s="12" t="s">
        <v>4</v>
      </c>
      <c r="B24" s="13" t="s">
        <v>3</v>
      </c>
      <c r="C24" s="73">
        <v>4</v>
      </c>
      <c r="D24" s="73">
        <v>4</v>
      </c>
      <c r="E24" s="73">
        <v>4</v>
      </c>
    </row>
    <row r="25" spans="1:6" ht="21.95" customHeight="1">
      <c r="A25" s="12" t="s">
        <v>25</v>
      </c>
      <c r="B25" s="8" t="s">
        <v>26</v>
      </c>
      <c r="C25" s="73">
        <v>54.4</v>
      </c>
      <c r="D25" s="85">
        <v>54.4</v>
      </c>
      <c r="E25" s="86">
        <v>54.4</v>
      </c>
    </row>
    <row r="26" spans="1:6" ht="25.5">
      <c r="A26" s="9" t="s">
        <v>22</v>
      </c>
      <c r="B26" s="8" t="s">
        <v>2</v>
      </c>
      <c r="C26" s="68">
        <v>20526.8</v>
      </c>
      <c r="D26" s="68">
        <v>5131.7</v>
      </c>
      <c r="E26" s="68">
        <v>5131.7</v>
      </c>
    </row>
    <row r="27" spans="1:6">
      <c r="A27" s="12" t="s">
        <v>4</v>
      </c>
      <c r="B27" s="13" t="s">
        <v>3</v>
      </c>
      <c r="C27" s="22">
        <v>35.1</v>
      </c>
      <c r="D27" s="22">
        <v>35.1</v>
      </c>
      <c r="E27" s="22">
        <v>35.1</v>
      </c>
    </row>
    <row r="28" spans="1:6" ht="21.95" customHeight="1">
      <c r="A28" s="12" t="s">
        <v>25</v>
      </c>
      <c r="B28" s="8" t="s">
        <v>26</v>
      </c>
      <c r="C28" s="22">
        <v>48.7</v>
      </c>
      <c r="D28" s="22">
        <v>48.7</v>
      </c>
      <c r="E28" s="22">
        <v>48.7</v>
      </c>
    </row>
    <row r="29" spans="1:6" ht="25.5">
      <c r="A29" s="7" t="s">
        <v>5</v>
      </c>
      <c r="B29" s="8" t="s">
        <v>2</v>
      </c>
      <c r="C29" s="41">
        <v>18533.599999999999</v>
      </c>
      <c r="D29" s="41">
        <f t="shared" ref="D29" si="0">(474128+1902383+1011720)/1000</f>
        <v>3388.2310000000002</v>
      </c>
      <c r="E29" s="41">
        <f>(474128+1902383+1011720)/1000</f>
        <v>3388.2310000000002</v>
      </c>
    </row>
    <row r="30" spans="1:6" ht="36.75">
      <c r="A30" s="14" t="s">
        <v>6</v>
      </c>
      <c r="B30" s="8" t="s">
        <v>2</v>
      </c>
      <c r="C30" s="9">
        <v>129957</v>
      </c>
      <c r="D30" s="9">
        <f t="shared" ref="D30" si="1">1018.5+429.2+8292.35+13.7+37.3+9.6</f>
        <v>9800.6500000000015</v>
      </c>
      <c r="E30" s="9">
        <f>1018.5+429.2+8292.35+13.7+37.3+9.6</f>
        <v>9800.6500000000015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/>
    </row>
    <row r="32" spans="1:6" ht="36.75">
      <c r="A32" s="14" t="s">
        <v>8</v>
      </c>
      <c r="B32" s="8" t="s">
        <v>2</v>
      </c>
      <c r="C32" s="22">
        <f>D32*3.6</f>
        <v>932.39884800000004</v>
      </c>
      <c r="D32" s="41">
        <f t="shared" ref="D32" si="2">(179999.68+40000+32000+7000)/1000</f>
        <v>258.99968000000001</v>
      </c>
      <c r="E32" s="22">
        <f>(179999.68+40000+32000+7000)/1000</f>
        <v>258.99968000000001</v>
      </c>
    </row>
    <row r="33" spans="1:5" ht="52.5">
      <c r="A33" s="14" t="s">
        <v>9</v>
      </c>
      <c r="B33" s="8" t="s">
        <v>2</v>
      </c>
      <c r="C33" s="9">
        <v>932.3</v>
      </c>
      <c r="D33" s="9">
        <f t="shared" ref="D33" si="3">71.3+5.8+6.5+8.8+11.8+190+20+3+(26500/1000)</f>
        <v>343.7</v>
      </c>
      <c r="E33" s="9">
        <f>71.3+5.8+6.5+8.8+11.8+190+20+3+(26500/1000)</f>
        <v>343.7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6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152</v>
      </c>
      <c r="D11" s="9">
        <v>152</v>
      </c>
      <c r="E11" s="9">
        <v>152</v>
      </c>
    </row>
    <row r="12" spans="1:6" ht="25.5">
      <c r="A12" s="12" t="s">
        <v>23</v>
      </c>
      <c r="B12" s="8" t="s">
        <v>2</v>
      </c>
      <c r="C12" s="18">
        <f>C13/C11</f>
        <v>1066.4394078947366</v>
      </c>
      <c r="D12" s="18">
        <f>D13/D11</f>
        <v>176.98780921052631</v>
      </c>
      <c r="E12" s="18">
        <f>E13/E11</f>
        <v>176.98780921052631</v>
      </c>
    </row>
    <row r="13" spans="1:6" ht="25.5">
      <c r="A13" s="7" t="s">
        <v>11</v>
      </c>
      <c r="B13" s="8" t="s">
        <v>2</v>
      </c>
      <c r="C13" s="9">
        <f>C15+C29+C30+C31+C32+C33</f>
        <v>162098.78999999998</v>
      </c>
      <c r="D13" s="17">
        <f>D15+D29+D30+D31+D32+D33</f>
        <v>26902.147000000001</v>
      </c>
      <c r="E13" s="9">
        <f>E15+E29+E30+E31+E32+E33</f>
        <v>26902.147000000001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76543.199999999997</v>
      </c>
      <c r="D15" s="23">
        <f>D17+D20+D23+D26</f>
        <v>19135.8</v>
      </c>
      <c r="E15" s="22">
        <f>E17+E20+E23+E26</f>
        <v>19135.8</v>
      </c>
      <c r="F15" s="19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6183.6</v>
      </c>
      <c r="D17" s="68">
        <v>1545.9</v>
      </c>
      <c r="E17" s="68">
        <v>1545.9</v>
      </c>
    </row>
    <row r="18" spans="1:6">
      <c r="A18" s="12" t="s">
        <v>4</v>
      </c>
      <c r="B18" s="13" t="s">
        <v>3</v>
      </c>
      <c r="C18" s="68">
        <v>4.5</v>
      </c>
      <c r="D18" s="68">
        <v>4.5</v>
      </c>
      <c r="E18" s="68">
        <v>4.5</v>
      </c>
    </row>
    <row r="19" spans="1:6">
      <c r="A19" s="12" t="s">
        <v>25</v>
      </c>
      <c r="B19" s="8" t="s">
        <v>26</v>
      </c>
      <c r="C19" s="86">
        <v>114.5</v>
      </c>
      <c r="D19" s="86">
        <v>114.5</v>
      </c>
      <c r="E19" s="86">
        <v>14.5</v>
      </c>
    </row>
    <row r="20" spans="1:6" ht="25.5">
      <c r="A20" s="9" t="s">
        <v>21</v>
      </c>
      <c r="B20" s="8" t="s">
        <v>2</v>
      </c>
      <c r="C20" s="68">
        <v>56374</v>
      </c>
      <c r="D20" s="68">
        <v>14093.5</v>
      </c>
      <c r="E20" s="68">
        <v>14093.5</v>
      </c>
    </row>
    <row r="21" spans="1:6">
      <c r="A21" s="12" t="s">
        <v>4</v>
      </c>
      <c r="B21" s="13" t="s">
        <v>3</v>
      </c>
      <c r="C21" s="68">
        <v>41.7</v>
      </c>
      <c r="D21" s="68">
        <v>41.7</v>
      </c>
      <c r="E21" s="68">
        <v>41.7</v>
      </c>
    </row>
    <row r="22" spans="1:6">
      <c r="A22" s="12" t="s">
        <v>25</v>
      </c>
      <c r="B22" s="8" t="s">
        <v>26</v>
      </c>
      <c r="C22" s="68">
        <v>112.66</v>
      </c>
      <c r="D22" s="86">
        <v>112.66</v>
      </c>
      <c r="E22" s="86">
        <v>112.66</v>
      </c>
    </row>
    <row r="23" spans="1:6" ht="39">
      <c r="A23" s="16" t="s">
        <v>24</v>
      </c>
      <c r="B23" s="8" t="s">
        <v>2</v>
      </c>
      <c r="C23" s="68">
        <v>3327.6</v>
      </c>
      <c r="D23" s="68">
        <v>831.9</v>
      </c>
      <c r="E23" s="68">
        <v>831.9</v>
      </c>
    </row>
    <row r="24" spans="1:6">
      <c r="A24" s="12" t="s">
        <v>4</v>
      </c>
      <c r="B24" s="13" t="s">
        <v>3</v>
      </c>
      <c r="C24" s="68">
        <v>2.5</v>
      </c>
      <c r="D24" s="68">
        <v>2.5</v>
      </c>
      <c r="E24" s="68">
        <v>2.5</v>
      </c>
    </row>
    <row r="25" spans="1:6">
      <c r="A25" s="12" t="s">
        <v>25</v>
      </c>
      <c r="B25" s="8" t="s">
        <v>26</v>
      </c>
      <c r="C25" s="68">
        <v>110.9</v>
      </c>
      <c r="D25" s="86">
        <v>110.92</v>
      </c>
      <c r="E25" s="86">
        <v>110.92</v>
      </c>
    </row>
    <row r="26" spans="1:6" ht="25.5">
      <c r="A26" s="9" t="s">
        <v>22</v>
      </c>
      <c r="B26" s="8" t="s">
        <v>2</v>
      </c>
      <c r="C26" s="68">
        <v>10658</v>
      </c>
      <c r="D26" s="68">
        <v>2664.5</v>
      </c>
      <c r="E26" s="68">
        <v>2664.5</v>
      </c>
    </row>
    <row r="27" spans="1:6">
      <c r="A27" s="12" t="s">
        <v>4</v>
      </c>
      <c r="B27" s="13" t="s">
        <v>3</v>
      </c>
      <c r="C27" s="66">
        <v>19.52</v>
      </c>
      <c r="D27" s="66">
        <v>19.52</v>
      </c>
      <c r="E27" s="44">
        <v>19.52</v>
      </c>
    </row>
    <row r="28" spans="1:6">
      <c r="A28" s="12" t="s">
        <v>25</v>
      </c>
      <c r="B28" s="8" t="s">
        <v>26</v>
      </c>
      <c r="C28" s="66">
        <v>45.5</v>
      </c>
      <c r="D28" s="67">
        <v>45.5</v>
      </c>
      <c r="E28" s="45">
        <v>45.5</v>
      </c>
    </row>
    <row r="29" spans="1:6" ht="25.5">
      <c r="A29" s="7" t="s">
        <v>5</v>
      </c>
      <c r="B29" s="8" t="s">
        <v>2</v>
      </c>
      <c r="C29" s="28">
        <v>10466.4</v>
      </c>
      <c r="D29" s="28">
        <f t="shared" ref="D29" si="0">(269688+1069311+574418)/1000</f>
        <v>1913.4169999999999</v>
      </c>
      <c r="E29" s="28">
        <f>(269688+1069311+574418)/1000</f>
        <v>1913.4169999999999</v>
      </c>
    </row>
    <row r="30" spans="1:6" ht="36.75">
      <c r="A30" s="14" t="s">
        <v>6</v>
      </c>
      <c r="B30" s="8" t="s">
        <v>2</v>
      </c>
      <c r="C30" s="9">
        <v>74444.7</v>
      </c>
      <c r="D30" s="9">
        <f t="shared" ref="D30" si="1">164.5+5395.53+13.7+37.3+3.2</f>
        <v>5614.23</v>
      </c>
      <c r="E30" s="9">
        <f>164.5+5395.53+13.7+37.3+3.2</f>
        <v>5614.23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f t="shared" ref="D33" si="2"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3" workbookViewId="0">
      <selection activeCell="C17" sqref="C17:E2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5" t="s">
        <v>15</v>
      </c>
      <c r="B1" s="95"/>
      <c r="C1" s="95"/>
      <c r="D1" s="95"/>
      <c r="E1" s="95"/>
    </row>
    <row r="2" spans="1:6">
      <c r="A2" s="95" t="s">
        <v>42</v>
      </c>
      <c r="B2" s="95"/>
      <c r="C2" s="95"/>
      <c r="D2" s="95"/>
      <c r="E2" s="95"/>
    </row>
    <row r="3" spans="1:6">
      <c r="A3" s="96" t="s">
        <v>28</v>
      </c>
      <c r="B3" s="96"/>
      <c r="C3" s="96"/>
      <c r="D3" s="96"/>
      <c r="E3" s="96"/>
    </row>
    <row r="4" spans="1:6">
      <c r="A4" s="96"/>
      <c r="B4" s="96"/>
      <c r="C4" s="96"/>
      <c r="D4" s="96"/>
      <c r="E4" s="96"/>
    </row>
    <row r="5" spans="1:6">
      <c r="A5" s="97" t="s">
        <v>16</v>
      </c>
      <c r="B5" s="97"/>
      <c r="C5" s="97"/>
      <c r="D5" s="97"/>
      <c r="E5" s="97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8" t="s">
        <v>27</v>
      </c>
      <c r="B9" s="99" t="s">
        <v>18</v>
      </c>
      <c r="C9" s="98" t="s">
        <v>30</v>
      </c>
      <c r="D9" s="98"/>
      <c r="E9" s="98"/>
    </row>
    <row r="10" spans="1:6" ht="81">
      <c r="A10" s="98"/>
      <c r="B10" s="99"/>
      <c r="C10" s="25" t="s">
        <v>19</v>
      </c>
      <c r="D10" s="78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72</v>
      </c>
      <c r="D11" s="9">
        <v>72</v>
      </c>
      <c r="E11" s="9">
        <v>72</v>
      </c>
    </row>
    <row r="12" spans="1:6" ht="25.5">
      <c r="A12" s="12" t="s">
        <v>23</v>
      </c>
      <c r="B12" s="8" t="s">
        <v>2</v>
      </c>
      <c r="C12" s="18">
        <f>C13/C11</f>
        <v>1566.7343055555557</v>
      </c>
      <c r="D12" s="18">
        <f>D13/D11</f>
        <v>275.37984722222222</v>
      </c>
      <c r="E12" s="18">
        <f>E13/E11</f>
        <v>275.37984722222222</v>
      </c>
    </row>
    <row r="13" spans="1:6" ht="25.5">
      <c r="A13" s="7" t="s">
        <v>11</v>
      </c>
      <c r="B13" s="8" t="s">
        <v>2</v>
      </c>
      <c r="C13" s="9">
        <f>C15+C29+C30+C31+C32+C33</f>
        <v>112804.87000000001</v>
      </c>
      <c r="D13" s="17">
        <f>D15+D29+D30+D31+D32+D33</f>
        <v>19827.348999999998</v>
      </c>
      <c r="E13" s="9">
        <f>E15+E29+E30+E31+E32+E33</f>
        <v>19827.348999999998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59108.800000000003</v>
      </c>
      <c r="D15" s="23">
        <f>D17+D20+D23+D26</f>
        <v>14777.2</v>
      </c>
      <c r="E15" s="22">
        <f>E17+E20+E23+E26</f>
        <v>14777.2</v>
      </c>
      <c r="F15" s="74"/>
    </row>
    <row r="16" spans="1:6">
      <c r="A16" s="10" t="s">
        <v>1</v>
      </c>
      <c r="B16" s="11"/>
      <c r="C16" s="22"/>
      <c r="D16" s="22"/>
      <c r="E16" s="9"/>
    </row>
    <row r="17" spans="1:5" ht="25.5">
      <c r="A17" s="9" t="s">
        <v>13</v>
      </c>
      <c r="B17" s="8" t="s">
        <v>2</v>
      </c>
      <c r="C17" s="68">
        <v>5597.6</v>
      </c>
      <c r="D17" s="68">
        <v>1399.4</v>
      </c>
      <c r="E17" s="68">
        <v>1399.4</v>
      </c>
    </row>
    <row r="18" spans="1:5">
      <c r="A18" s="12" t="s">
        <v>4</v>
      </c>
      <c r="B18" s="13" t="s">
        <v>3</v>
      </c>
      <c r="C18" s="68">
        <v>3</v>
      </c>
      <c r="D18" s="68">
        <v>3</v>
      </c>
      <c r="E18" s="68">
        <v>3</v>
      </c>
    </row>
    <row r="19" spans="1:5">
      <c r="A19" s="12" t="s">
        <v>25</v>
      </c>
      <c r="B19" s="8" t="s">
        <v>26</v>
      </c>
      <c r="C19" s="86">
        <v>155.5</v>
      </c>
      <c r="D19" s="86">
        <v>155.5</v>
      </c>
      <c r="E19" s="86">
        <v>155.5</v>
      </c>
    </row>
    <row r="20" spans="1:5" ht="25.5">
      <c r="A20" s="9" t="s">
        <v>21</v>
      </c>
      <c r="B20" s="8" t="s">
        <v>2</v>
      </c>
      <c r="C20" s="68">
        <v>43046.400000000001</v>
      </c>
      <c r="D20" s="68">
        <v>10761.6</v>
      </c>
      <c r="E20" s="68">
        <v>10761.6</v>
      </c>
    </row>
    <row r="21" spans="1:5">
      <c r="A21" s="12" t="s">
        <v>4</v>
      </c>
      <c r="B21" s="13" t="s">
        <v>3</v>
      </c>
      <c r="C21" s="68">
        <v>30.5</v>
      </c>
      <c r="D21" s="68">
        <v>30.5</v>
      </c>
      <c r="E21" s="68">
        <v>30.5</v>
      </c>
    </row>
    <row r="22" spans="1:5">
      <c r="A22" s="12" t="s">
        <v>25</v>
      </c>
      <c r="B22" s="8" t="s">
        <v>26</v>
      </c>
      <c r="C22" s="68">
        <v>117.6</v>
      </c>
      <c r="D22" s="86">
        <v>117.6</v>
      </c>
      <c r="E22" s="86">
        <v>117.6</v>
      </c>
    </row>
    <row r="23" spans="1:5" ht="39">
      <c r="A23" s="16" t="s">
        <v>24</v>
      </c>
      <c r="B23" s="8" t="s">
        <v>2</v>
      </c>
      <c r="C23" s="68">
        <v>2175.6</v>
      </c>
      <c r="D23" s="68">
        <v>543.9</v>
      </c>
      <c r="E23" s="68">
        <v>543.9</v>
      </c>
    </row>
    <row r="24" spans="1:5">
      <c r="A24" s="12" t="s">
        <v>4</v>
      </c>
      <c r="B24" s="13" t="s">
        <v>3</v>
      </c>
      <c r="C24" s="68">
        <v>2</v>
      </c>
      <c r="D24" s="68">
        <v>2</v>
      </c>
      <c r="E24" s="68">
        <v>2</v>
      </c>
    </row>
    <row r="25" spans="1:5">
      <c r="A25" s="12" t="s">
        <v>25</v>
      </c>
      <c r="B25" s="8" t="s">
        <v>26</v>
      </c>
      <c r="C25" s="68">
        <v>90.65</v>
      </c>
      <c r="D25" s="90">
        <v>90.65</v>
      </c>
      <c r="E25" s="90">
        <v>90.65</v>
      </c>
    </row>
    <row r="26" spans="1:5" ht="25.5">
      <c r="A26" s="9" t="s">
        <v>22</v>
      </c>
      <c r="B26" s="8" t="s">
        <v>2</v>
      </c>
      <c r="C26" s="68">
        <v>8289.2000000000007</v>
      </c>
      <c r="D26" s="68">
        <v>2072.3000000000002</v>
      </c>
      <c r="E26" s="68">
        <v>2072.3000000000002</v>
      </c>
    </row>
    <row r="27" spans="1:5">
      <c r="A27" s="12" t="s">
        <v>4</v>
      </c>
      <c r="B27" s="13" t="s">
        <v>3</v>
      </c>
      <c r="C27" s="68">
        <v>20.25</v>
      </c>
      <c r="D27" s="68">
        <v>20.25</v>
      </c>
      <c r="E27" s="68">
        <v>20.25</v>
      </c>
    </row>
    <row r="28" spans="1:5">
      <c r="A28" s="12" t="s">
        <v>25</v>
      </c>
      <c r="B28" s="8" t="s">
        <v>26</v>
      </c>
      <c r="C28" s="66">
        <v>34.1</v>
      </c>
      <c r="D28" s="67">
        <v>34.1</v>
      </c>
      <c r="E28" s="45">
        <v>34.1</v>
      </c>
    </row>
    <row r="29" spans="1:5" ht="25.5">
      <c r="A29" s="7" t="s">
        <v>5</v>
      </c>
      <c r="B29" s="8" t="s">
        <v>2</v>
      </c>
      <c r="C29" s="23">
        <v>7688.85</v>
      </c>
      <c r="D29" s="23">
        <f t="shared" ref="D29" si="0">(189021+814791+401827)/1000</f>
        <v>1405.6389999999999</v>
      </c>
      <c r="E29" s="23">
        <f>(189021+814791+401827)/1000</f>
        <v>1405.6389999999999</v>
      </c>
    </row>
    <row r="30" spans="1:5" ht="36.75">
      <c r="A30" s="14" t="s">
        <v>6</v>
      </c>
      <c r="B30" s="8" t="s">
        <v>2</v>
      </c>
      <c r="C30" s="9">
        <v>45414.3</v>
      </c>
      <c r="D30" s="9">
        <f t="shared" ref="D30" si="1">234.7+3136.01+13.7+37.3+3.2</f>
        <v>3424.91</v>
      </c>
      <c r="E30" s="9">
        <f>234.7+3136.01+13.7+37.3+3.2</f>
        <v>3424.91</v>
      </c>
    </row>
    <row r="31" spans="1:5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5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592.91999999999996</v>
      </c>
      <c r="D33" s="9">
        <f t="shared" ref="D33" si="2">5.8+8.8+190+3+(12000/1000)</f>
        <v>219.6</v>
      </c>
      <c r="E33" s="9">
        <f>5.8+8.8+190+3+(12000/1000)</f>
        <v>219.6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C17" sqref="C17:E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5" t="s">
        <v>15</v>
      </c>
      <c r="B1" s="95"/>
      <c r="C1" s="95"/>
      <c r="D1" s="95"/>
      <c r="E1" s="95"/>
    </row>
    <row r="2" spans="1:5">
      <c r="A2" s="95" t="s">
        <v>42</v>
      </c>
      <c r="B2" s="95"/>
      <c r="C2" s="95"/>
      <c r="D2" s="95"/>
      <c r="E2" s="95"/>
    </row>
    <row r="3" spans="1:5">
      <c r="A3" s="96" t="s">
        <v>28</v>
      </c>
      <c r="B3" s="96"/>
      <c r="C3" s="96"/>
      <c r="D3" s="96"/>
      <c r="E3" s="96"/>
    </row>
    <row r="4" spans="1:5">
      <c r="A4" s="96"/>
      <c r="B4" s="96"/>
      <c r="C4" s="96"/>
      <c r="D4" s="96"/>
      <c r="E4" s="96"/>
    </row>
    <row r="5" spans="1:5">
      <c r="A5" s="97" t="s">
        <v>16</v>
      </c>
      <c r="B5" s="97"/>
      <c r="C5" s="97"/>
      <c r="D5" s="97"/>
      <c r="E5" s="97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8" t="s">
        <v>27</v>
      </c>
      <c r="B9" s="99" t="s">
        <v>18</v>
      </c>
      <c r="C9" s="98" t="s">
        <v>30</v>
      </c>
      <c r="D9" s="98"/>
      <c r="E9" s="98"/>
    </row>
    <row r="10" spans="1:5" ht="81">
      <c r="A10" s="98"/>
      <c r="B10" s="99"/>
      <c r="C10" s="25" t="s">
        <v>19</v>
      </c>
      <c r="D10" s="78" t="s">
        <v>44</v>
      </c>
      <c r="E10" s="24" t="s">
        <v>14</v>
      </c>
    </row>
    <row r="11" spans="1:5">
      <c r="A11" s="7" t="s">
        <v>20</v>
      </c>
      <c r="B11" s="8" t="s">
        <v>10</v>
      </c>
      <c r="C11" s="9">
        <v>194</v>
      </c>
      <c r="D11" s="9">
        <v>194</v>
      </c>
      <c r="E11" s="9">
        <v>194</v>
      </c>
    </row>
    <row r="12" spans="1:5" ht="25.5">
      <c r="A12" s="12" t="s">
        <v>23</v>
      </c>
      <c r="B12" s="8" t="s">
        <v>2</v>
      </c>
      <c r="C12" s="18">
        <f>C13/C11</f>
        <v>612.48958762886593</v>
      </c>
      <c r="D12" s="18">
        <f>D13/D11</f>
        <v>108.43696391752577</v>
      </c>
      <c r="E12" s="18">
        <f>E13/E11</f>
        <v>108.43696391752577</v>
      </c>
    </row>
    <row r="13" spans="1:5" ht="25.5">
      <c r="A13" s="7" t="s">
        <v>11</v>
      </c>
      <c r="B13" s="8" t="s">
        <v>2</v>
      </c>
      <c r="C13" s="9">
        <f>C15+C29+C30+C31+C32+C33</f>
        <v>118822.98</v>
      </c>
      <c r="D13" s="17">
        <f>D15+D29+D30+D31+D32+D33</f>
        <v>21036.771000000001</v>
      </c>
      <c r="E13" s="9">
        <f>E15+E29+E30+E31+E32+E33</f>
        <v>21036.771000000001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63202.8</v>
      </c>
      <c r="D15" s="23">
        <f>D17+D20+D23+D26</f>
        <v>15800.7</v>
      </c>
      <c r="E15" s="22">
        <f>E17+E20+E23+E26</f>
        <v>15800.7</v>
      </c>
    </row>
    <row r="16" spans="1:5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8">
        <v>5932.8</v>
      </c>
      <c r="D17" s="68">
        <v>1483.2</v>
      </c>
      <c r="E17" s="68">
        <v>1483.2</v>
      </c>
    </row>
    <row r="18" spans="1:6">
      <c r="A18" s="12" t="s">
        <v>4</v>
      </c>
      <c r="B18" s="13" t="s">
        <v>3</v>
      </c>
      <c r="C18" s="73">
        <v>3</v>
      </c>
      <c r="D18" s="73">
        <v>3</v>
      </c>
      <c r="E18" s="73">
        <v>3</v>
      </c>
    </row>
    <row r="19" spans="1:6">
      <c r="A19" s="12" t="s">
        <v>25</v>
      </c>
      <c r="B19" s="8" t="s">
        <v>26</v>
      </c>
      <c r="C19" s="85">
        <v>164.8</v>
      </c>
      <c r="D19" s="85">
        <v>164.8</v>
      </c>
      <c r="E19" s="86">
        <v>164.8</v>
      </c>
    </row>
    <row r="20" spans="1:6" ht="25.5">
      <c r="A20" s="9" t="s">
        <v>21</v>
      </c>
      <c r="B20" s="8" t="s">
        <v>2</v>
      </c>
      <c r="C20" s="68">
        <v>44657.2</v>
      </c>
      <c r="D20" s="68">
        <v>11164.3</v>
      </c>
      <c r="E20" s="68">
        <v>11164.3</v>
      </c>
    </row>
    <row r="21" spans="1:6">
      <c r="A21" s="12" t="s">
        <v>4</v>
      </c>
      <c r="B21" s="13" t="s">
        <v>3</v>
      </c>
      <c r="C21" s="73">
        <v>33.018999999999998</v>
      </c>
      <c r="D21" s="73">
        <v>33.018999999999998</v>
      </c>
      <c r="E21" s="73">
        <v>33.018999999999998</v>
      </c>
    </row>
    <row r="22" spans="1:6">
      <c r="A22" s="12" t="s">
        <v>25</v>
      </c>
      <c r="B22" s="8" t="s">
        <v>26</v>
      </c>
      <c r="C22" s="73">
        <v>112.7</v>
      </c>
      <c r="D22" s="85">
        <v>112.7</v>
      </c>
      <c r="E22" s="86">
        <v>112.7</v>
      </c>
    </row>
    <row r="23" spans="1:6" ht="39">
      <c r="A23" s="16" t="s">
        <v>24</v>
      </c>
      <c r="B23" s="8" t="s">
        <v>2</v>
      </c>
      <c r="C23" s="91">
        <v>824</v>
      </c>
      <c r="D23" s="91">
        <v>206</v>
      </c>
      <c r="E23" s="91">
        <v>206</v>
      </c>
      <c r="F23" s="65"/>
    </row>
    <row r="24" spans="1:6">
      <c r="A24" s="12" t="s">
        <v>4</v>
      </c>
      <c r="B24" s="13" t="s">
        <v>3</v>
      </c>
      <c r="C24" s="73">
        <v>1.25</v>
      </c>
      <c r="D24" s="73">
        <v>1.25</v>
      </c>
      <c r="E24" s="73">
        <v>1.25</v>
      </c>
    </row>
    <row r="25" spans="1:6">
      <c r="A25" s="12" t="s">
        <v>25</v>
      </c>
      <c r="B25" s="8" t="s">
        <v>26</v>
      </c>
      <c r="C25" s="73">
        <v>54.9</v>
      </c>
      <c r="D25" s="85">
        <v>54.9</v>
      </c>
      <c r="E25" s="86">
        <v>54.9</v>
      </c>
    </row>
    <row r="26" spans="1:6" ht="25.5">
      <c r="A26" s="9" t="s">
        <v>22</v>
      </c>
      <c r="B26" s="8" t="s">
        <v>2</v>
      </c>
      <c r="C26" s="68">
        <v>11788.8</v>
      </c>
      <c r="D26" s="68">
        <v>2947.2</v>
      </c>
      <c r="E26" s="68">
        <v>2947.2</v>
      </c>
    </row>
    <row r="27" spans="1:6">
      <c r="A27" s="12" t="s">
        <v>4</v>
      </c>
      <c r="B27" s="13" t="s">
        <v>3</v>
      </c>
      <c r="C27" s="22">
        <v>23.05</v>
      </c>
      <c r="D27" s="22">
        <v>23.05</v>
      </c>
      <c r="E27" s="22">
        <v>23.05</v>
      </c>
    </row>
    <row r="28" spans="1:6">
      <c r="A28" s="12" t="s">
        <v>25</v>
      </c>
      <c r="B28" s="8" t="s">
        <v>26</v>
      </c>
      <c r="C28" s="22">
        <v>42.6</v>
      </c>
      <c r="D28" s="28">
        <v>42.6</v>
      </c>
      <c r="E28" s="17">
        <v>42.6</v>
      </c>
    </row>
    <row r="29" spans="1:6" ht="25.5">
      <c r="A29" s="7" t="s">
        <v>5</v>
      </c>
      <c r="B29" s="8" t="s">
        <v>2</v>
      </c>
      <c r="C29" s="41">
        <v>7986.59</v>
      </c>
      <c r="D29" s="41">
        <f t="shared" ref="D29" si="0">(204011+820562+435498)/1000</f>
        <v>1460.0709999999999</v>
      </c>
      <c r="E29" s="41">
        <f>(204011+820562+435498)/1000</f>
        <v>1460.0709999999999</v>
      </c>
    </row>
    <row r="30" spans="1:6" ht="36.75">
      <c r="A30" s="14" t="s">
        <v>6</v>
      </c>
      <c r="B30" s="8" t="s">
        <v>2</v>
      </c>
      <c r="C30" s="9">
        <v>47010.7</v>
      </c>
      <c r="D30" s="9">
        <f t="shared" ref="D30" si="1">325.8+3162.1+13.7+37.3+6.4</f>
        <v>3545.3</v>
      </c>
      <c r="E30" s="9">
        <f>325.8+3162.1+13.7+37.3+6.4</f>
        <v>3545.3</v>
      </c>
      <c r="F30" s="2" t="s">
        <v>32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622.89</v>
      </c>
      <c r="D33" s="9">
        <f t="shared" ref="D33" si="2">5.8+8.8+190+3+(23100/1000)</f>
        <v>230.7</v>
      </c>
      <c r="E33" s="9">
        <v>230.7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свод</vt:lpstr>
      <vt:lpstr>СШ№1</vt:lpstr>
      <vt:lpstr>СШ№2</vt:lpstr>
      <vt:lpstr>СШ№3</vt:lpstr>
      <vt:lpstr>СШ№4</vt:lpstr>
      <vt:lpstr>СШ№5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Иванковка ОШ</vt:lpstr>
      <vt:lpstr>Воробьевка ОШ</vt:lpstr>
      <vt:lpstr>Алаколь ОШ</vt:lpstr>
      <vt:lpstr>Гордеевка ОШ</vt:lpstr>
      <vt:lpstr>Жанаталап НШ</vt:lpstr>
      <vt:lpstr>Ултуган НШ</vt:lpstr>
      <vt:lpstr>Новокиевка НШ</vt:lpstr>
      <vt:lpstr>Ельтай НШ №1</vt:lpstr>
      <vt:lpstr>Ельтай НШ№2</vt:lpstr>
      <vt:lpstr>Купчановка НШ</vt:lpstr>
      <vt:lpstr>Буденовка НШ</vt:lpstr>
      <vt:lpstr>Байсуат НШ</vt:lpstr>
      <vt:lpstr>Красносельское НШ</vt:lpstr>
      <vt:lpstr>роо</vt:lpstr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2019-11-05T04:35:06Z</dcterms:modified>
</cp:coreProperties>
</file>